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updateLinks="never" codeName="ЭтаКнига" defaultThemeVersion="124226"/>
  <bookViews>
    <workbookView xWindow="0" yWindow="0" windowWidth="28776" windowHeight="11772" tabRatio="789" firstSheet="1" activeTab="1"/>
  </bookViews>
  <sheets>
    <sheet name="_расчет" sheetId="24" state="hidden" r:id="rId1"/>
    <sheet name="Matrix" sheetId="4" r:id="rId2"/>
    <sheet name="FMR_new" sheetId="5" state="hidden" r:id="rId3"/>
    <sheet name="MRL_старое" sheetId="6" state="hidden" r:id="rId4"/>
    <sheet name="Trim5_old" sheetId="7" state="hidden" r:id="rId5"/>
    <sheet name="Модем ICM" sheetId="11" state="hidden" r:id="rId6"/>
    <sheet name="SMH2G_old" sheetId="12" state="hidden" r:id="rId7"/>
    <sheet name="MC_old" sheetId="13" state="hidden" r:id="rId8"/>
    <sheet name="Сетевые модули PNA_old" sheetId="19" state="hidden" r:id="rId9"/>
    <sheet name="_" sheetId="25" state="hidden" r:id="rId10"/>
    <sheet name="Лист1" sheetId="26" state="hidden" r:id="rId11"/>
  </sheets>
  <definedNames>
    <definedName name="_00">Matrix!$K$42</definedName>
    <definedName name="_10">Matrix!$K$46:$K$50</definedName>
    <definedName name="_11">Matrix!$K$46:$K$50</definedName>
    <definedName name="_13">Matrix!$K$46:$K$50</definedName>
    <definedName name="_20">Matrix!$K$46:$K$50</definedName>
    <definedName name="_21">Matrix!$K$47:$K$50</definedName>
    <definedName name="_22">Matrix!$K$48:$K$51</definedName>
    <definedName name="_30">Matrix!$K$49:$K$50</definedName>
    <definedName name="_33">Matrix!$K$50</definedName>
    <definedName name="solver_adj" localSheetId="0" hidden="1">_расчет!$L$7:$L$39</definedName>
    <definedName name="solver_cvg" localSheetId="0" hidden="1">0.0001</definedName>
    <definedName name="solver_drv" localSheetId="0" hidden="1">2</definedName>
    <definedName name="solver_eng" localSheetId="0" hidden="1">2</definedName>
    <definedName name="solver_est" localSheetId="0" hidden="1">1</definedName>
    <definedName name="solver_itr" localSheetId="0" hidden="1">2147483647</definedName>
    <definedName name="solver_lhs0" localSheetId="0" hidden="1">_расчет!$Q$40</definedName>
    <definedName name="solver_lhs1" localSheetId="0" hidden="1">_расчет!$O$74</definedName>
    <definedName name="solver_lhs10" localSheetId="0" hidden="1">_расчет!$O$83</definedName>
    <definedName name="solver_lhs11" localSheetId="0" hidden="1">_расчет!$O$84</definedName>
    <definedName name="solver_lhs12" localSheetId="0" hidden="1">_расчет!$Q$40</definedName>
    <definedName name="solver_lhs13" localSheetId="0" hidden="1">_расчет!$P$40</definedName>
    <definedName name="solver_lhs14" localSheetId="0" hidden="1">_расчет!$N$85</definedName>
    <definedName name="solver_lhs15" localSheetId="0" hidden="1">_расчет!$M$40</definedName>
    <definedName name="solver_lhs16" localSheetId="0" hidden="1">_расчет!$L$7:$L$39</definedName>
    <definedName name="solver_lhs17" localSheetId="0" hidden="1">_расчет!$N$77</definedName>
    <definedName name="solver_lhs2" localSheetId="0" hidden="1">_расчет!$R$40</definedName>
    <definedName name="solver_lhs3" localSheetId="0" hidden="1">_расчет!$O$73</definedName>
    <definedName name="solver_lhs4" localSheetId="0" hidden="1">_расчет!$L$7</definedName>
    <definedName name="solver_lhs5" localSheetId="0" hidden="1">_расчет!$O$81</definedName>
    <definedName name="solver_lhs6" localSheetId="0" hidden="1">_расчет!$N$40</definedName>
    <definedName name="solver_lhs7" localSheetId="0" hidden="1">_расчет!$O$82</definedName>
    <definedName name="solver_lhs8" localSheetId="0" hidden="1">_расчет!$O$40</definedName>
    <definedName name="solver_lhs9" localSheetId="0" hidden="1">_расчет!$N$40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17</definedName>
    <definedName name="solver_nwt" localSheetId="0" hidden="1">1</definedName>
    <definedName name="solver_opt" localSheetId="0" hidden="1">_расчет!$S$40</definedName>
    <definedName name="solver_pre" localSheetId="0" hidden="1">0.000001</definedName>
    <definedName name="solver_rbv" localSheetId="0" hidden="1">2</definedName>
    <definedName name="solver_rel0" localSheetId="0" hidden="1">3</definedName>
    <definedName name="solver_rel1" localSheetId="0" hidden="1">3</definedName>
    <definedName name="solver_rel10" localSheetId="0" hidden="1">2</definedName>
    <definedName name="solver_rel11" localSheetId="0" hidden="1">2</definedName>
    <definedName name="solver_rel12" localSheetId="0" hidden="1">3</definedName>
    <definedName name="solver_rel13" localSheetId="0" hidden="1">3</definedName>
    <definedName name="solver_rel14" localSheetId="0" hidden="1">2</definedName>
    <definedName name="solver_rel15" localSheetId="0" hidden="1">3</definedName>
    <definedName name="solver_rel16" localSheetId="0" hidden="1">4</definedName>
    <definedName name="solver_rel17" localSheetId="0" hidden="1">1</definedName>
    <definedName name="solver_rel2" localSheetId="0" hidden="1">3</definedName>
    <definedName name="solver_rel3" localSheetId="0" hidden="1">1</definedName>
    <definedName name="solver_rel4" localSheetId="0" hidden="1">2</definedName>
    <definedName name="solver_rel5" localSheetId="0" hidden="1">2</definedName>
    <definedName name="solver_rel6" localSheetId="0" hidden="1">3</definedName>
    <definedName name="solver_rel7" localSheetId="0" hidden="1">2</definedName>
    <definedName name="solver_rel8" localSheetId="0" hidden="1">3</definedName>
    <definedName name="solver_rel9" localSheetId="0" hidden="1">3</definedName>
    <definedName name="solver_rhs0" localSheetId="0" hidden="1">_расчет!$G$4</definedName>
    <definedName name="solver_rhs1" localSheetId="0" hidden="1">_расчет!$N$74</definedName>
    <definedName name="solver_rhs10" localSheetId="0" hidden="1">_расчет!$N$83</definedName>
    <definedName name="solver_rhs11" localSheetId="0" hidden="1">_расчет!$N$84</definedName>
    <definedName name="solver_rhs12" localSheetId="0" hidden="1">_расчет!$G$4</definedName>
    <definedName name="solver_rhs13" localSheetId="0" hidden="1">_расчет!$F$4</definedName>
    <definedName name="solver_rhs14" localSheetId="0" hidden="1">_расчет!$N$86</definedName>
    <definedName name="solver_rhs15" localSheetId="0" hidden="1">_расчет!$C$4</definedName>
    <definedName name="solver_rhs16" localSheetId="0" hidden="1">целое</definedName>
    <definedName name="solver_rhs17" localSheetId="0" hidden="1">_расчет!$N$78</definedName>
    <definedName name="solver_rhs2" localSheetId="0" hidden="1">_расчет!$H$4</definedName>
    <definedName name="solver_rhs3" localSheetId="0" hidden="1">_расчет!$N$73</definedName>
    <definedName name="solver_rhs4" localSheetId="0" hidden="1">0</definedName>
    <definedName name="solver_rhs5" localSheetId="0" hidden="1">_расчет!$N$81</definedName>
    <definedName name="solver_rhs6" localSheetId="0" hidden="1">_расчет!$D$4</definedName>
    <definedName name="solver_rhs7" localSheetId="0" hidden="1">_расчет!$N$82</definedName>
    <definedName name="solver_rhs8" localSheetId="0" hidden="1">_расчет!$E$4</definedName>
    <definedName name="solver_rhs9" localSheetId="0" hidden="1">_расчет!$D$4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  <definedName name="Z_11D08DB2_E31A_4B7D_96E3_15D146D9C90A_.wvu.PrintArea" localSheetId="7" hidden="1">MC_old!$A$1:$H$65</definedName>
    <definedName name="Z_11D08DB2_E31A_4B7D_96E3_15D146D9C90A_.wvu.PrintArea" localSheetId="6" hidden="1">SMH2G_old!$A$1:$H$37</definedName>
    <definedName name="Z_11D08DB2_E31A_4B7D_96E3_15D146D9C90A_.wvu.PrintArea" localSheetId="4" hidden="1">Trim5_old!$A$1:$H$58</definedName>
    <definedName name="Z_11D08DB2_E31A_4B7D_96E3_15D146D9C90A_.wvu.PrintArea" localSheetId="5" hidden="1">'Модем ICM'!$A$1:$H$23</definedName>
    <definedName name="Z_11D08DB2_E31A_4B7D_96E3_15D146D9C90A_.wvu.PrintArea" localSheetId="8" hidden="1">'Сетевые модули PNA_old'!$A$1:$H$29</definedName>
    <definedName name="Z_20FA67BD_9BBC_4ED6_BBAA_373F6BCF607B_.wvu.PrintArea" localSheetId="7" hidden="1">MC_old!$A$1:$H$65</definedName>
    <definedName name="Z_20FA67BD_9BBC_4ED6_BBAA_373F6BCF607B_.wvu.PrintArea" localSheetId="6" hidden="1">SMH2G_old!$A$1:$H$37</definedName>
    <definedName name="Z_20FA67BD_9BBC_4ED6_BBAA_373F6BCF607B_.wvu.PrintArea" localSheetId="4" hidden="1">Trim5_old!$A$1:$H$58</definedName>
    <definedName name="Z_20FA67BD_9BBC_4ED6_BBAA_373F6BCF607B_.wvu.PrintArea" localSheetId="5" hidden="1">'Модем ICM'!$A$1:$H$23</definedName>
    <definedName name="Z_20FA67BD_9BBC_4ED6_BBAA_373F6BCF607B_.wvu.PrintArea" localSheetId="8" hidden="1">'Сетевые модули PNA_old'!$A$1:$H$29</definedName>
    <definedName name="Z_7D664F49_CBB3_4B83_A19B_05FCB4570C5D_.wvu.PrintArea" localSheetId="7" hidden="1">MC_old!$A$1:$H$65</definedName>
    <definedName name="Z_7D664F49_CBB3_4B83_A19B_05FCB4570C5D_.wvu.PrintArea" localSheetId="6" hidden="1">SMH2G_old!$A$1:$H$37</definedName>
    <definedName name="Z_7D664F49_CBB3_4B83_A19B_05FCB4570C5D_.wvu.PrintArea" localSheetId="4" hidden="1">Trim5_old!$A$1:$H$58</definedName>
    <definedName name="Z_7D664F49_CBB3_4B83_A19B_05FCB4570C5D_.wvu.PrintArea" localSheetId="5" hidden="1">'Модем ICM'!$A$1:$H$23</definedName>
    <definedName name="Z_7D664F49_CBB3_4B83_A19B_05FCB4570C5D_.wvu.PrintArea" localSheetId="8" hidden="1">'Сетевые модули PNA_old'!$A$1:$H$29</definedName>
    <definedName name="Z_830742FC_BE7F_4E27_BACB_C350DD8E1822_.wvu.PrintArea" localSheetId="7" hidden="1">MC_old!$A$1:$H$65</definedName>
    <definedName name="Z_830742FC_BE7F_4E27_BACB_C350DD8E1822_.wvu.PrintArea" localSheetId="6" hidden="1">SMH2G_old!$A$1:$H$37</definedName>
    <definedName name="Z_830742FC_BE7F_4E27_BACB_C350DD8E1822_.wvu.PrintArea" localSheetId="4" hidden="1">Trim5_old!$A$1:$H$58</definedName>
    <definedName name="Z_830742FC_BE7F_4E27_BACB_C350DD8E1822_.wvu.PrintArea" localSheetId="5" hidden="1">'Модем ICM'!$A$1:$H$23</definedName>
    <definedName name="Z_830742FC_BE7F_4E27_BACB_C350DD8E1822_.wvu.PrintArea" localSheetId="8" hidden="1">'Сетевые модули PNA_old'!$A$1:$H$29</definedName>
    <definedName name="Z_EE5C2B4E_0986_4484_AC0A_003A1AA7501D_.wvu.PrintArea" localSheetId="7" hidden="1">MC_old!$A$1:$H$65</definedName>
    <definedName name="Z_EE5C2B4E_0986_4484_AC0A_003A1AA7501D_.wvu.PrintArea" localSheetId="6" hidden="1">SMH2G_old!$A$1:$H$37</definedName>
    <definedName name="Z_EE5C2B4E_0986_4484_AC0A_003A1AA7501D_.wvu.PrintArea" localSheetId="4" hidden="1">Trim5_old!$A$1:$H$58</definedName>
    <definedName name="Z_EE5C2B4E_0986_4484_AC0A_003A1AA7501D_.wvu.PrintArea" localSheetId="5" hidden="1">'Модем ICM'!$A$1:$H$23</definedName>
    <definedName name="Z_EE5C2B4E_0986_4484_AC0A_003A1AA7501D_.wvu.PrintArea" localSheetId="8" hidden="1">'Сетевые модули PNA_old'!$A$1:$H$29</definedName>
    <definedName name="курс">#REF!</definedName>
    <definedName name="_xlnm.Print_Area" localSheetId="7">MC_old!$A$1:$H$65</definedName>
    <definedName name="_xlnm.Print_Area" localSheetId="6">SMH2G_old!$A$1:$H$37</definedName>
    <definedName name="_xlnm.Print_Area" localSheetId="4">Trim5_old!$A$1:$H$58</definedName>
    <definedName name="_xlnm.Print_Area" localSheetId="5">'Модем ICM'!$A$1:$H$23</definedName>
    <definedName name="_xlnm.Print_Area" localSheetId="8">'Сетевые модули PNA_old'!$A$1:$H$29</definedName>
    <definedName name="ресурс_контроллера">_расчет!$M$64:$M$65</definedName>
    <definedName name="скидка">_!$C$5</definedName>
    <definedName name="Список_контроллеров">_расчет!$B$47:$B$64</definedName>
    <definedName name="Список_МС">_расчет!#REF!</definedName>
  </definedNames>
  <calcPr calcId="125725" iterateDelta="1E-4"/>
  <customWorkbookViews>
    <customWorkbookView name="User - Личное представление" guid="{EE5C2B4E-0986-4484-AC0A-003A1AA7501D}" mergeInterval="0" personalView="1" maximized="1" xWindow="-8" yWindow="-8" windowWidth="1936" windowHeight="1056" tabRatio="789" activeSheetId="1"/>
    <customWorkbookView name="Support - Личное представление" guid="{20FA67BD-9BBC-4ED6-BBAA-373F6BCF607B}" mergeInterval="0" personalView="1" maximized="1" windowWidth="1920" windowHeight="785" tabRatio="789" activeSheetId="1"/>
    <customWorkbookView name="Rusaln-PC - Личное представление" guid="{830742FC-BE7F-4E27-BACB-C350DD8E1822}" mergeInterval="0" personalView="1" maximized="1" windowWidth="1916" windowHeight="914" tabRatio="789" activeSheetId="19"/>
    <customWorkbookView name="Ruslan - Личное представление" guid="{7D664F49-CBB3-4B83-A19B-05FCB4570C5D}" mergeInterval="0" personalView="1" maximized="1" xWindow="-8" yWindow="-8" windowWidth="1936" windowHeight="1035" tabRatio="789" activeSheetId="1"/>
    <customWorkbookView name="User1 - Личное представление" guid="{11D08DB2-E31A-4B7D-96E3-15D146D9C90A}" mergeInterval="0" personalView="1" maximized="1" windowWidth="1920" windowHeight="822" tabRatio="789" activeSheetId="1"/>
  </customWorkbookViews>
</workbook>
</file>

<file path=xl/calcChain.xml><?xml version="1.0" encoding="utf-8"?>
<calcChain xmlns="http://schemas.openxmlformats.org/spreadsheetml/2006/main">
  <c r="O84" i="24"/>
  <c r="O83"/>
  <c r="O82"/>
  <c r="O81"/>
  <c r="O80"/>
  <c r="N71"/>
  <c r="N73"/>
  <c r="N74"/>
  <c r="N86"/>
  <c r="N85"/>
  <c r="N76"/>
  <c r="S7"/>
  <c r="S9"/>
  <c r="S10"/>
  <c r="S11"/>
  <c r="S12"/>
  <c r="S13"/>
  <c r="S14"/>
  <c r="S15"/>
  <c r="S16"/>
  <c r="K7"/>
  <c r="K8"/>
  <c r="K9"/>
  <c r="K10"/>
  <c r="K11"/>
  <c r="K12"/>
  <c r="K13"/>
  <c r="K14"/>
  <c r="K15"/>
  <c r="K16"/>
  <c r="K17"/>
  <c r="K18"/>
  <c r="K19"/>
  <c r="K20"/>
  <c r="K21"/>
  <c r="K22"/>
  <c r="K23"/>
  <c r="O63"/>
  <c r="I18"/>
  <c r="S18" s="1"/>
  <c r="I19"/>
  <c r="S19" s="1"/>
  <c r="I20"/>
  <c r="S20" s="1"/>
  <c r="I21"/>
  <c r="S21" s="1"/>
  <c r="I22"/>
  <c r="S22" s="1"/>
  <c r="I17"/>
  <c r="S17" s="1"/>
  <c r="N84"/>
  <c r="N83"/>
  <c r="N82"/>
  <c r="N81"/>
  <c r="N80"/>
  <c r="E21"/>
  <c r="O21" s="1"/>
  <c r="H11"/>
  <c r="R11"/>
  <c r="G13"/>
  <c r="Q13"/>
  <c r="F15"/>
  <c r="P15"/>
  <c r="E16"/>
  <c r="O16" s="1"/>
  <c r="E9"/>
  <c r="O9" s="1"/>
  <c r="D10"/>
  <c r="N10"/>
  <c r="C12"/>
  <c r="M12"/>
  <c r="H20"/>
  <c r="R20"/>
  <c r="G20"/>
  <c r="Q20"/>
  <c r="F20"/>
  <c r="P20"/>
  <c r="E20"/>
  <c r="O20"/>
  <c r="D20"/>
  <c r="N20" s="1"/>
  <c r="C20"/>
  <c r="M20"/>
  <c r="F23"/>
  <c r="P23"/>
  <c r="C8"/>
  <c r="M8"/>
  <c r="H16"/>
  <c r="R16"/>
  <c r="H10"/>
  <c r="R10"/>
  <c r="G12"/>
  <c r="Q12"/>
  <c r="F14"/>
  <c r="P14"/>
  <c r="E15"/>
  <c r="O15" s="1"/>
  <c r="D16"/>
  <c r="N16" s="1"/>
  <c r="D9"/>
  <c r="N9"/>
  <c r="C11"/>
  <c r="M11"/>
  <c r="H19"/>
  <c r="R19"/>
  <c r="G19"/>
  <c r="Q19"/>
  <c r="F19"/>
  <c r="P19"/>
  <c r="E19"/>
  <c r="O19"/>
  <c r="D19"/>
  <c r="N19" s="1"/>
  <c r="C19"/>
  <c r="M19"/>
  <c r="E23"/>
  <c r="O23"/>
  <c r="H7"/>
  <c r="R7"/>
  <c r="H15"/>
  <c r="R15"/>
  <c r="H9"/>
  <c r="R9"/>
  <c r="G11"/>
  <c r="Q11"/>
  <c r="F13"/>
  <c r="P13"/>
  <c r="E14"/>
  <c r="O14" s="1"/>
  <c r="D15"/>
  <c r="N15" s="1"/>
  <c r="C16"/>
  <c r="M16"/>
  <c r="C10"/>
  <c r="M10"/>
  <c r="H18"/>
  <c r="R18"/>
  <c r="G18"/>
  <c r="Q18"/>
  <c r="F18"/>
  <c r="P18"/>
  <c r="E18"/>
  <c r="O18"/>
  <c r="D18"/>
  <c r="N18" s="1"/>
  <c r="C18"/>
  <c r="M18"/>
  <c r="D23"/>
  <c r="N23"/>
  <c r="G7"/>
  <c r="Q7"/>
  <c r="H14"/>
  <c r="R14"/>
  <c r="G16"/>
  <c r="Q16"/>
  <c r="G10"/>
  <c r="Q10"/>
  <c r="F12"/>
  <c r="P12"/>
  <c r="E13"/>
  <c r="O13" s="1"/>
  <c r="D14"/>
  <c r="N14" s="1"/>
  <c r="C15"/>
  <c r="M15"/>
  <c r="C9"/>
  <c r="M9"/>
  <c r="H17"/>
  <c r="R17"/>
  <c r="G17"/>
  <c r="Q17"/>
  <c r="F17"/>
  <c r="P17"/>
  <c r="E17"/>
  <c r="O17"/>
  <c r="D17"/>
  <c r="N17" s="1"/>
  <c r="C17"/>
  <c r="M17"/>
  <c r="C23"/>
  <c r="M23"/>
  <c r="F7"/>
  <c r="P7"/>
  <c r="H13"/>
  <c r="R13"/>
  <c r="G15"/>
  <c r="Q15"/>
  <c r="G9"/>
  <c r="Q9"/>
  <c r="F10"/>
  <c r="P10"/>
  <c r="E12"/>
  <c r="O12" s="1"/>
  <c r="D13"/>
  <c r="N13" s="1"/>
  <c r="C14"/>
  <c r="M14"/>
  <c r="H22"/>
  <c r="R22"/>
  <c r="G22"/>
  <c r="Q22"/>
  <c r="F22"/>
  <c r="P22" s="1"/>
  <c r="E22"/>
  <c r="O22"/>
  <c r="D22"/>
  <c r="N22"/>
  <c r="C22"/>
  <c r="M22"/>
  <c r="H23"/>
  <c r="R23"/>
  <c r="H8"/>
  <c r="R8"/>
  <c r="E7"/>
  <c r="O7"/>
  <c r="H12"/>
  <c r="R12"/>
  <c r="G14"/>
  <c r="Q14"/>
  <c r="F16"/>
  <c r="P16"/>
  <c r="F9"/>
  <c r="P9"/>
  <c r="E10"/>
  <c r="O10" s="1"/>
  <c r="D12"/>
  <c r="N12" s="1"/>
  <c r="F21"/>
  <c r="P21"/>
  <c r="G8"/>
  <c r="Q8"/>
  <c r="G21"/>
  <c r="Q21"/>
  <c r="G23"/>
  <c r="Q23"/>
  <c r="H21"/>
  <c r="R21"/>
  <c r="C21"/>
  <c r="M21"/>
  <c r="C13"/>
  <c r="M13"/>
  <c r="D21"/>
  <c r="N21" s="1"/>
  <c r="D7"/>
  <c r="N7"/>
  <c r="C7"/>
  <c r="M7"/>
  <c r="I39"/>
  <c r="S39" s="1"/>
  <c r="I38"/>
  <c r="S38" s="1"/>
  <c r="I37"/>
  <c r="I36"/>
  <c r="I35"/>
  <c r="I34"/>
  <c r="S34" s="1"/>
  <c r="I33"/>
  <c r="I32"/>
  <c r="S32" s="1"/>
  <c r="I31"/>
  <c r="S31" s="1"/>
  <c r="I30"/>
  <c r="S30" s="1"/>
  <c r="I29"/>
  <c r="S29" s="1"/>
  <c r="I28"/>
  <c r="S28" s="1"/>
  <c r="I27"/>
  <c r="S27" s="1"/>
  <c r="I26"/>
  <c r="I25"/>
  <c r="S25" s="1"/>
  <c r="I24"/>
  <c r="O74"/>
  <c r="O73"/>
  <c r="N77"/>
  <c r="N78"/>
  <c r="O72"/>
  <c r="L40"/>
  <c r="R39"/>
  <c r="Q39"/>
  <c r="O39"/>
  <c r="M39"/>
  <c r="K39"/>
  <c r="R38"/>
  <c r="Q38"/>
  <c r="P38"/>
  <c r="M38"/>
  <c r="K38"/>
  <c r="S37"/>
  <c r="R37"/>
  <c r="Q37"/>
  <c r="P37"/>
  <c r="O37"/>
  <c r="N37"/>
  <c r="M37"/>
  <c r="K37"/>
  <c r="S36"/>
  <c r="R36"/>
  <c r="Q36"/>
  <c r="P36"/>
  <c r="O36"/>
  <c r="N36"/>
  <c r="M36"/>
  <c r="K36"/>
  <c r="S35"/>
  <c r="R35"/>
  <c r="Q35"/>
  <c r="O35"/>
  <c r="M35"/>
  <c r="K35"/>
  <c r="R34"/>
  <c r="Q34"/>
  <c r="O34"/>
  <c r="M34"/>
  <c r="K34"/>
  <c r="S33"/>
  <c r="R33"/>
  <c r="Q33"/>
  <c r="P33"/>
  <c r="M33"/>
  <c r="K33"/>
  <c r="R32"/>
  <c r="Q32"/>
  <c r="P32"/>
  <c r="M32"/>
  <c r="K32"/>
  <c r="R31"/>
  <c r="Q31"/>
  <c r="P31"/>
  <c r="O31"/>
  <c r="M31"/>
  <c r="K31"/>
  <c r="R30"/>
  <c r="Q30"/>
  <c r="P30"/>
  <c r="O30"/>
  <c r="N30"/>
  <c r="M30"/>
  <c r="K30"/>
  <c r="R29"/>
  <c r="Q29"/>
  <c r="P29"/>
  <c r="O29"/>
  <c r="N29"/>
  <c r="M29"/>
  <c r="K29"/>
  <c r="R28"/>
  <c r="Q28"/>
  <c r="P28"/>
  <c r="O28"/>
  <c r="N28"/>
  <c r="M28"/>
  <c r="K28"/>
  <c r="R27"/>
  <c r="Q27"/>
  <c r="M27"/>
  <c r="K27"/>
  <c r="S26"/>
  <c r="R26"/>
  <c r="Q26"/>
  <c r="M26"/>
  <c r="K26"/>
  <c r="R25"/>
  <c r="Q25"/>
  <c r="O25"/>
  <c r="M25"/>
  <c r="K25"/>
  <c r="S24"/>
  <c r="R24"/>
  <c r="Q24"/>
  <c r="O24"/>
  <c r="M24"/>
  <c r="K24"/>
  <c r="H4"/>
  <c r="G4"/>
  <c r="F4"/>
  <c r="E4"/>
  <c r="D4"/>
  <c r="C4"/>
  <c r="I3"/>
  <c r="E26"/>
  <c r="O26"/>
  <c r="D27"/>
  <c r="N27"/>
  <c r="F26"/>
  <c r="P26"/>
  <c r="D33"/>
  <c r="N33"/>
  <c r="D24"/>
  <c r="N24"/>
  <c r="D34"/>
  <c r="N34"/>
  <c r="D38"/>
  <c r="N38"/>
  <c r="E27"/>
  <c r="O27"/>
  <c r="F24"/>
  <c r="P24"/>
  <c r="F34"/>
  <c r="P34"/>
  <c r="F27"/>
  <c r="P27"/>
  <c r="D35"/>
  <c r="N35"/>
  <c r="D39"/>
  <c r="N39"/>
  <c r="D25"/>
  <c r="N25"/>
  <c r="D32"/>
  <c r="N32"/>
  <c r="F39"/>
  <c r="P39"/>
  <c r="F25"/>
  <c r="P25"/>
  <c r="E32"/>
  <c r="O32"/>
  <c r="M67"/>
  <c r="O66"/>
  <c r="D26"/>
  <c r="N26"/>
  <c r="D31"/>
  <c r="N31"/>
  <c r="E33"/>
  <c r="O33"/>
  <c r="F35"/>
  <c r="P35"/>
  <c r="E38"/>
  <c r="O38"/>
  <c r="F11"/>
  <c r="P11"/>
  <c r="E8"/>
  <c r="O8"/>
  <c r="D11"/>
  <c r="N11" s="1"/>
  <c r="F8"/>
  <c r="P8" s="1"/>
  <c r="D8"/>
  <c r="N8"/>
  <c r="E11"/>
  <c r="O11"/>
  <c r="M40"/>
  <c r="Q40"/>
  <c r="R40"/>
  <c r="Q183" i="25"/>
  <c r="P179"/>
  <c r="P180"/>
  <c r="Q177"/>
  <c r="D42"/>
  <c r="D63"/>
  <c r="I8" i="24"/>
  <c r="S8" s="1"/>
  <c r="C195" i="25"/>
  <c r="E195"/>
  <c r="E196"/>
  <c r="D71"/>
  <c r="D70"/>
  <c r="D69"/>
  <c r="D68"/>
  <c r="D67"/>
  <c r="D66"/>
  <c r="D65"/>
  <c r="D64"/>
  <c r="D61"/>
  <c r="D60"/>
  <c r="D59"/>
  <c r="E294"/>
  <c r="Q174"/>
  <c r="Q175"/>
  <c r="Q176"/>
  <c r="C5"/>
  <c r="B294" s="1"/>
  <c r="D294" s="1"/>
  <c r="F294" s="1"/>
  <c r="F75"/>
  <c r="F81"/>
  <c r="F104"/>
  <c r="F107"/>
  <c r="F110"/>
  <c r="F113"/>
  <c r="I195"/>
  <c r="K196"/>
  <c r="AF217"/>
  <c r="AD219"/>
  <c r="AE219"/>
  <c r="D238"/>
  <c r="D239"/>
  <c r="I239"/>
  <c r="AD252"/>
  <c r="AF252"/>
  <c r="D271"/>
  <c r="H16" i="19"/>
  <c r="H16" i="13"/>
  <c r="H22"/>
  <c r="H29"/>
  <c r="H36"/>
  <c r="H16" i="12"/>
  <c r="H16" i="11"/>
  <c r="I23" i="24"/>
  <c r="S23" s="1"/>
  <c r="H16" i="7"/>
  <c r="H20"/>
  <c r="H23"/>
  <c r="H26"/>
  <c r="H29"/>
  <c r="M42" i="4"/>
  <c r="F118" i="25"/>
  <c r="O179"/>
  <c r="AC176"/>
  <c r="I271"/>
  <c r="I273"/>
  <c r="E10" i="6"/>
  <c r="E271" i="25"/>
  <c r="H238"/>
  <c r="F238"/>
  <c r="E238"/>
  <c r="L196"/>
  <c r="G196"/>
  <c r="K271"/>
  <c r="K273"/>
  <c r="E11" i="6"/>
  <c r="J196" i="25"/>
  <c r="H196"/>
  <c r="I196"/>
  <c r="I197"/>
  <c r="H11" i="4"/>
  <c r="L195" i="25"/>
  <c r="H271"/>
  <c r="H273"/>
  <c r="E9" i="6"/>
  <c r="F271" i="25"/>
  <c r="J271"/>
  <c r="J273"/>
  <c r="E12" i="6"/>
  <c r="L239" i="25"/>
  <c r="G271"/>
  <c r="G273"/>
  <c r="E7" i="6"/>
  <c r="L271" i="25"/>
  <c r="L273"/>
  <c r="E8" i="6"/>
  <c r="F196" i="25"/>
  <c r="AE176"/>
  <c r="G239"/>
  <c r="F239"/>
  <c r="H239"/>
  <c r="E239"/>
  <c r="J239"/>
  <c r="AF219"/>
  <c r="E14" i="5"/>
  <c r="G238" i="25"/>
  <c r="V179"/>
  <c r="G14" i="4"/>
  <c r="E14" i="6"/>
  <c r="Q179" i="25"/>
  <c r="AF176"/>
  <c r="K195"/>
  <c r="K197"/>
  <c r="H12" i="4"/>
  <c r="L238" i="25"/>
  <c r="J195"/>
  <c r="K238"/>
  <c r="H195"/>
  <c r="J238"/>
  <c r="G195"/>
  <c r="F195"/>
  <c r="AD176"/>
  <c r="K239"/>
  <c r="I238"/>
  <c r="I240"/>
  <c r="E10" i="5"/>
  <c r="AG176" i="25"/>
  <c r="H15" i="4"/>
  <c r="H240" i="25"/>
  <c r="E9" i="5"/>
  <c r="L197" i="25"/>
  <c r="H9" i="4"/>
  <c r="G197" i="25"/>
  <c r="H8" i="4"/>
  <c r="H197" i="25"/>
  <c r="H10" i="4"/>
  <c r="J240" i="25"/>
  <c r="E12" i="5"/>
  <c r="G240" i="25"/>
  <c r="E7" i="5"/>
  <c r="J197" i="25"/>
  <c r="H13" i="4"/>
  <c r="L240" i="25"/>
  <c r="E8" i="5"/>
  <c r="K240" i="25"/>
  <c r="E11" i="5"/>
  <c r="O40" i="24" l="1"/>
  <c r="N40"/>
  <c r="P40"/>
  <c r="S40"/>
</calcChain>
</file>

<file path=xl/comments1.xml><?xml version="1.0" encoding="utf-8"?>
<comments xmlns="http://schemas.openxmlformats.org/spreadsheetml/2006/main">
  <authors>
    <author>Автор</author>
    <author>User1</author>
  </authors>
  <commentList>
    <comment ref="I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Номер контроллера для расчетов
</t>
        </r>
      </text>
    </comment>
    <comment ref="T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Символ для сцепки</t>
        </r>
      </text>
    </comment>
    <comment ref="N63" authorId="0">
      <text>
        <r>
          <rPr>
            <sz val="9"/>
            <color indexed="81"/>
            <rFont val="Tahoma"/>
            <family val="2"/>
            <charset val="204"/>
          </rPr>
          <t xml:space="preserve">Ячейка создает условия, считать ли нам входы контроллера
</t>
        </r>
      </text>
    </comment>
    <comment ref="O63" authorId="0">
      <text>
        <r>
          <rPr>
            <sz val="9"/>
            <color indexed="81"/>
            <rFont val="Tahoma"/>
            <family val="2"/>
            <charset val="204"/>
          </rPr>
          <t xml:space="preserve">Задает множитель для учета ресурсов контроллера
</t>
        </r>
      </text>
    </comment>
    <comment ref="O72" authorId="0">
      <text>
        <r>
          <rPr>
            <sz val="9"/>
            <color indexed="81"/>
            <rFont val="Tahoma"/>
            <family val="2"/>
            <charset val="204"/>
          </rPr>
          <t>0 - не различаем
1 - различаем</t>
        </r>
      </text>
    </comment>
    <comment ref="M73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Если пиксель головное устройство, то отключаем подбор фмр
</t>
        </r>
      </text>
    </comment>
  </commentList>
</comments>
</file>

<file path=xl/comments2.xml><?xml version="1.0" encoding="utf-8"?>
<comments xmlns="http://schemas.openxmlformats.org/spreadsheetml/2006/main">
  <authors>
    <author>Ruslan</author>
    <author>User1</author>
    <author>Support</author>
  </authors>
  <commentList>
    <comment ref="E7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0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0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1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O174" authorId="1">
      <text>
        <r>
          <rPr>
            <b/>
            <sz val="9"/>
            <color indexed="81"/>
            <rFont val="Tahoma"/>
            <family val="2"/>
            <charset val="204"/>
          </rPr>
          <t>без дисплея</t>
        </r>
      </text>
    </comment>
    <comment ref="AC175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обвес цпу</t>
        </r>
      </text>
    </comment>
    <comment ref="O176" authorId="1">
      <text>
        <r>
          <rPr>
            <b/>
            <sz val="9"/>
            <color indexed="81"/>
            <rFont val="Tahoma"/>
            <family val="2"/>
            <charset val="204"/>
          </rPr>
          <t>с дисплеем</t>
        </r>
      </text>
    </comment>
    <comment ref="AC176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учесть изменения при вводе HDMI версии</t>
        </r>
      </text>
    </comment>
    <comment ref="AG176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07,10 повышение цен
</t>
        </r>
      </text>
    </comment>
    <comment ref="O179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Вариация ЦПУ
</t>
        </r>
      </text>
    </comment>
    <comment ref="P180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Учет модема
</t>
        </r>
      </text>
    </comment>
    <comment ref="AF217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коэф</t>
        </r>
      </text>
    </comment>
    <comment ref="AF250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коэф</t>
        </r>
      </text>
    </comment>
    <comment ref="AF252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c 07,10 повышение цен</t>
        </r>
      </text>
    </comment>
  </commentList>
</comments>
</file>

<file path=xl/sharedStrings.xml><?xml version="1.0" encoding="utf-8"?>
<sst xmlns="http://schemas.openxmlformats.org/spreadsheetml/2006/main" count="469" uniqueCount="317">
  <si>
    <t>Контроллеры</t>
  </si>
  <si>
    <t>Модули</t>
  </si>
  <si>
    <t>Кабели</t>
  </si>
  <si>
    <t>Батарейки</t>
  </si>
  <si>
    <t>SMH2010</t>
  </si>
  <si>
    <t>DIN</t>
  </si>
  <si>
    <t>Часы реального времени</t>
  </si>
  <si>
    <t>С этим товаром покупают:</t>
  </si>
  <si>
    <t>Модификации:</t>
  </si>
  <si>
    <t>Так же можно приобрести:</t>
  </si>
  <si>
    <t>Примечание:</t>
  </si>
  <si>
    <t>ModBUS-TCP (Ethernet 10Base-T)</t>
  </si>
  <si>
    <t>AIN</t>
  </si>
  <si>
    <t>Для соединения модуля с контроллером при раздельном монтаже</t>
  </si>
  <si>
    <t>К контроллеру можно подключить только один модуль MC-0X0X-01-0</t>
  </si>
  <si>
    <t>Pixel 12XX-02-0</t>
  </si>
  <si>
    <t>Pixel 25XX-02-0</t>
  </si>
  <si>
    <t>SMH2G</t>
  </si>
  <si>
    <t>Модуль PNA-023 предназначен только для локальных сетей</t>
  </si>
  <si>
    <t>Предназначен для контроллеров:</t>
  </si>
  <si>
    <t>-</t>
  </si>
  <si>
    <t>Для соединения модуля MR с контроллером</t>
  </si>
  <si>
    <t>Модули памяти</t>
  </si>
  <si>
    <t>Сетевые модули</t>
  </si>
  <si>
    <t>SMH2G - 4222-01-2</t>
  </si>
  <si>
    <t>Pixel - 2511-02-0</t>
  </si>
  <si>
    <t>Pixel - 2512-02-0</t>
  </si>
  <si>
    <t>Pixel - 2514-02-0</t>
  </si>
  <si>
    <t>Pixel - 2515-02-0</t>
  </si>
  <si>
    <t>Pixel - 1211-02-0</t>
  </si>
  <si>
    <t>Pixel - 1214-02-0</t>
  </si>
  <si>
    <t>МС - 0201-01-0</t>
  </si>
  <si>
    <t>МС - 0202-01-0</t>
  </si>
  <si>
    <t>МС - 0401-01-0</t>
  </si>
  <si>
    <t>МС - 0402-01-0</t>
  </si>
  <si>
    <t>MR - 0061-00-0</t>
  </si>
  <si>
    <t>MR - 0120-00-0</t>
  </si>
  <si>
    <t>MR - 0504-00-0</t>
  </si>
  <si>
    <t>MR - 0602-00-0</t>
  </si>
  <si>
    <t>MR - 0800-00-0</t>
  </si>
  <si>
    <t>Eeprom PMM - 0128-01</t>
  </si>
  <si>
    <t>Eeprom PMM - 0256-01</t>
  </si>
  <si>
    <t>Fram PMM - 0128-02</t>
  </si>
  <si>
    <t>Ethernet  PNA - 023</t>
  </si>
  <si>
    <t>LonWorks PNA - 025</t>
  </si>
  <si>
    <t>LBВ - 1000</t>
  </si>
  <si>
    <t>LBA - 1000</t>
  </si>
  <si>
    <t>CB-MR - 0.5</t>
  </si>
  <si>
    <t>CB-MR - 1.5</t>
  </si>
  <si>
    <t>CB-MR - 2.0</t>
  </si>
  <si>
    <t>CB-МС - 1.0</t>
  </si>
  <si>
    <t>CB-МС - 2.0</t>
  </si>
  <si>
    <t>KC RS232-RJ45</t>
  </si>
  <si>
    <t>SMH2010 KC-RS232- RJ12</t>
  </si>
  <si>
    <t>SMH2010 KC-RS485- RJ12</t>
  </si>
  <si>
    <t>Х</t>
  </si>
  <si>
    <t>итого</t>
  </si>
  <si>
    <t>Trim5 - 3012-65-0</t>
  </si>
  <si>
    <t>интерфейсы</t>
  </si>
  <si>
    <t>Питание</t>
  </si>
  <si>
    <t>Характеристики:</t>
  </si>
  <si>
    <t>Разрешение дисплея</t>
  </si>
  <si>
    <t>800х480 пикселей (16:9)</t>
  </si>
  <si>
    <t>Сенсорный экран</t>
  </si>
  <si>
    <t>ёмкостный, распознавание до 5 нажатий</t>
  </si>
  <si>
    <t>Графический дисплей</t>
  </si>
  <si>
    <t>TFT Цветной, 5 дюйма, 108x64.8мм</t>
  </si>
  <si>
    <t>21...350VDC,18...250VAC, Не более 5Вт</t>
  </si>
  <si>
    <t>Не поддерживается</t>
  </si>
  <si>
    <t xml:space="preserve">Модули памяти PMM - XXX-X </t>
  </si>
  <si>
    <t xml:space="preserve">Сетевой модуль PNA - 023 </t>
  </si>
  <si>
    <t>Модуль MC - 0X0X-01-0</t>
  </si>
  <si>
    <t>Модуль MR - 0X0X-01-0</t>
  </si>
  <si>
    <t>Можно подключить до 8 модулей, для увеличения кол-во входов выходов</t>
  </si>
  <si>
    <t>RS-485 (о/р), RS-232 (о/р)</t>
  </si>
  <si>
    <t>2 или 4</t>
  </si>
  <si>
    <t>групповая гальваническая развязка</t>
  </si>
  <si>
    <t xml:space="preserve">NTC, ТС-50, ТС-100, ТС-1000, 0-10В, 4-20мА
</t>
  </si>
  <si>
    <t>Все выходы гальванически развязаны. Развязка
групповая</t>
  </si>
  <si>
    <t>Eeprom</t>
  </si>
  <si>
    <t>10 Мбит/сек</t>
  </si>
  <si>
    <t>Ethernet</t>
  </si>
  <si>
    <t>6(4-20мА)</t>
  </si>
  <si>
    <t>4(ТС-1000)+ 2(4-20мА)</t>
  </si>
  <si>
    <t>4(ТС-1000)+ 2(0-10В)</t>
  </si>
  <si>
    <t>4(ТС-1000)</t>
  </si>
  <si>
    <t>отсутствует</t>
  </si>
  <si>
    <t>установлена LBВ - 1000</t>
  </si>
  <si>
    <t>RS485</t>
  </si>
  <si>
    <t>плата без корпуса</t>
  </si>
  <si>
    <t>3000 блоков FBD</t>
  </si>
  <si>
    <t>RS485+RS232 (о/р)</t>
  </si>
  <si>
    <t>din</t>
  </si>
  <si>
    <t>aout</t>
  </si>
  <si>
    <t>ain</t>
  </si>
  <si>
    <t>память</t>
  </si>
  <si>
    <t>порты</t>
  </si>
  <si>
    <t>ядро</t>
  </si>
  <si>
    <t>исполнение</t>
  </si>
  <si>
    <t>батарея</t>
  </si>
  <si>
    <t>0+ Fram</t>
  </si>
  <si>
    <t>2+ Fram</t>
  </si>
  <si>
    <t>4+ Fram</t>
  </si>
  <si>
    <t>Fram</t>
  </si>
  <si>
    <t>2+ Eeprom</t>
  </si>
  <si>
    <t>0+ Eeprom</t>
  </si>
  <si>
    <t>01</t>
  </si>
  <si>
    <t>04</t>
  </si>
  <si>
    <t>ЦЕНЫ</t>
  </si>
  <si>
    <t>Используются имена</t>
  </si>
  <si>
    <t>курс</t>
  </si>
  <si>
    <t>скидка</t>
  </si>
  <si>
    <t>лист и координаты</t>
  </si>
  <si>
    <t>прайс - B2</t>
  </si>
  <si>
    <t>расчеты С5</t>
  </si>
  <si>
    <t>Датчик освещенности</t>
  </si>
  <si>
    <t>Установлена батарея LBA - 1000</t>
  </si>
  <si>
    <t>Можно подключить только один модуль, для добавления ain/aout и увеличения din/dout.</t>
  </si>
  <si>
    <t>4+ Eeprom</t>
  </si>
  <si>
    <t>от контроллера, через интерфейсный разъем. 5 Вт</t>
  </si>
  <si>
    <t>18…36VDC, 5 Вт</t>
  </si>
  <si>
    <t>1700 блоков FBD+поддерж. AT-модема</t>
  </si>
  <si>
    <t>Датчик температуры</t>
  </si>
  <si>
    <t>Датчик влажности</t>
  </si>
  <si>
    <t>Модуль Wi-Fi</t>
  </si>
  <si>
    <t>☼</t>
  </si>
  <si>
    <t>опционально, Wi-Fi</t>
  </si>
  <si>
    <t>6(0-10В)</t>
  </si>
  <si>
    <t>USB-device</t>
  </si>
  <si>
    <t>USB-host</t>
  </si>
  <si>
    <t>Ethernet 1</t>
  </si>
  <si>
    <t>Ethernet 2</t>
  </si>
  <si>
    <t>Клеммная колодка, гальванически изолированный</t>
  </si>
  <si>
    <t>опционально, типа A, USB 2.0</t>
  </si>
  <si>
    <t>типа Micro-B, USB 2.0</t>
  </si>
  <si>
    <t>опционально, RJ-45, Modbus-TCP</t>
  </si>
  <si>
    <t>клеммная колодка, Modbus-TCP</t>
  </si>
  <si>
    <t>опционально, T,°C, -40...+125С, ±0.5С</t>
  </si>
  <si>
    <t>опционально, ρ,%, от 10% до 70%,±2%</t>
  </si>
  <si>
    <t>Кабель CB-МС - XX00</t>
  </si>
  <si>
    <t>Кабель CB-MR - XX00</t>
  </si>
  <si>
    <t>Аналоговые входы</t>
  </si>
  <si>
    <t>Дискретные входы</t>
  </si>
  <si>
    <t>Аналоговые выходы</t>
  </si>
  <si>
    <t>Дискретные выходы</t>
  </si>
  <si>
    <t xml:space="preserve">Дискретные входы </t>
  </si>
  <si>
    <t xml:space="preserve">Дискретные выходы </t>
  </si>
  <si>
    <t xml:space="preserve">Аналоговые выходы </t>
  </si>
  <si>
    <t>Модемы</t>
  </si>
  <si>
    <t>Интерфейс USB</t>
  </si>
  <si>
    <t>USB типа A, USB 2.0</t>
  </si>
  <si>
    <t>3G</t>
  </si>
  <si>
    <t>коэффициент скидки  для цен</t>
  </si>
  <si>
    <t>Крепление</t>
  </si>
  <si>
    <t>DIN-рейка, на плоскость</t>
  </si>
  <si>
    <t>только модель с установкой на дверцу шкафа</t>
  </si>
  <si>
    <t>Контроллер SMH2010</t>
  </si>
  <si>
    <t>SMH4 - 0011-00-0</t>
  </si>
  <si>
    <t>Установлена батарея CR2032</t>
  </si>
  <si>
    <t>RS-485</t>
  </si>
  <si>
    <t>☼
установка на дверцу шкафа
RS-485, microUSB, Ethernet1, USB, Ethernet2</t>
  </si>
  <si>
    <t>☼, T°C, ρ%
установка на стену
RS-485, microUSB, Ethernet1</t>
  </si>
  <si>
    <t>☼, T°C, ρ%, Wi-Fi
установка на стену
RS-485, microUSB, Ethernet1</t>
  </si>
  <si>
    <t>SMH2G(i)</t>
  </si>
  <si>
    <t>SMH4</t>
  </si>
  <si>
    <t>Датчик CO2eq</t>
  </si>
  <si>
    <t>☼, T°C, ρ%, Wi-Fi, CO2eq
установка на стену
RS-485, microUSB, Ethernet1</t>
  </si>
  <si>
    <t>☼, T°C, ρ%, CO2eq
установка на стену
RS-485, microUSB, Ethernet1</t>
  </si>
  <si>
    <t>опционально, датчик качества воздуха</t>
  </si>
  <si>
    <t>Итого:</t>
  </si>
  <si>
    <t>IP54 и LCD дисплей (-15...+55)</t>
  </si>
  <si>
    <t>IP65 и LCD дисплей (-15...+55)</t>
  </si>
  <si>
    <t>Контроллер Pixel</t>
  </si>
  <si>
    <t>Контроллер SMH2G</t>
  </si>
  <si>
    <t xml:space="preserve">антенна </t>
  </si>
  <si>
    <t xml:space="preserve">в комплект поставки не входит </t>
  </si>
  <si>
    <t>MR - 0810-01-0</t>
  </si>
  <si>
    <t>Розничная цена  (курс ЦБ, НДС включен)</t>
  </si>
  <si>
    <t>FMR - 1010-10-0</t>
  </si>
  <si>
    <t>FMR - 1020-10-0</t>
  </si>
  <si>
    <t>FMR - 1021-10-0</t>
  </si>
  <si>
    <t>FMR - 3022-10-0</t>
  </si>
  <si>
    <t>FMR - 3030-10-0</t>
  </si>
  <si>
    <t>FMR - 2222-10-0</t>
  </si>
  <si>
    <t>реле</t>
  </si>
  <si>
    <t xml:space="preserve">UIN=8
DIN(Cntr)=2 (20кГц)
DIN=7
AOUT=2
DOUT=5(оптореле)
DOUT=5(эл.р.)
</t>
  </si>
  <si>
    <t>UIN=8
DIN(Cntr)=2 (20кГц)
DIN=7
AOUT=2
DOUT=5(оптореле)
DOUT=1(эл.р.)
DOUT=4(симистор)</t>
  </si>
  <si>
    <t xml:space="preserve">UIN=6
AIN=2(0-10В, 4-20мА)
DIN(Cntr)=2 (20кГц)
DIN=7
AOUT=4
DOUT=5(оптореле)
DOUT=5(эл.р.)
</t>
  </si>
  <si>
    <t xml:space="preserve">UIN=6
AIN=2(0-10В, 4-20мА)
DIN(Cntr)=2 (20кГц)
DIN=7
AOUT=4
DOUT=5(оптореле)
DOUT=1(эл.р.)
DOUT=4(симистор)
</t>
  </si>
  <si>
    <t>FMR - 1320-10-0</t>
  </si>
  <si>
    <t>Matrix - 1020-70-0</t>
  </si>
  <si>
    <t>Matrix - 1020-90-0</t>
  </si>
  <si>
    <t>Matrix - 1021-70-0</t>
  </si>
  <si>
    <t>Модуль NA-017 (RS485+ETH)</t>
  </si>
  <si>
    <t>Модуль NA-018 (ETH+ETH)</t>
  </si>
  <si>
    <t>FMR - 1321-10-0</t>
  </si>
  <si>
    <t>Модем ICM - 0100-01-2</t>
  </si>
  <si>
    <t>в комплект поставки не входит</t>
  </si>
  <si>
    <t>кабель USB A(m) - USB A(m)</t>
  </si>
  <si>
    <t>Скорость передачи</t>
  </si>
  <si>
    <t>HSUPA 5.76Mbps</t>
  </si>
  <si>
    <t>00</t>
  </si>
  <si>
    <t>Segnetics</t>
  </si>
  <si>
    <t>PRICE LIST MATRIX</t>
  </si>
  <si>
    <t>Подбор модификации:</t>
  </si>
  <si>
    <t>AOUT</t>
  </si>
  <si>
    <t>DOUT relay</t>
  </si>
  <si>
    <t>DOUT triac</t>
  </si>
  <si>
    <t>DOUT opto</t>
  </si>
  <si>
    <t>Исполнение</t>
  </si>
  <si>
    <t>Стоимость:</t>
  </si>
  <si>
    <t>УСО1</t>
  </si>
  <si>
    <t>УСО2</t>
  </si>
  <si>
    <t>ЦПУ</t>
  </si>
  <si>
    <t>ИТОГ</t>
  </si>
  <si>
    <t>Дисплей,клавиатура</t>
  </si>
  <si>
    <t>PRICE LIST FMR</t>
  </si>
  <si>
    <t xml:space="preserve"> </t>
  </si>
  <si>
    <t xml:space="preserve">    FMR -</t>
  </si>
  <si>
    <t>PRICE LIST MRL</t>
  </si>
  <si>
    <t xml:space="preserve">    MRL -</t>
  </si>
  <si>
    <t>Price,евро</t>
  </si>
  <si>
    <t>Мод. УСО</t>
  </si>
  <si>
    <t>AI</t>
  </si>
  <si>
    <t>DI</t>
  </si>
  <si>
    <t>DO Relay</t>
  </si>
  <si>
    <t>DO OptoRelay</t>
  </si>
  <si>
    <t>DO Triac</t>
  </si>
  <si>
    <t>AO</t>
  </si>
  <si>
    <t>00-10</t>
  </si>
  <si>
    <t>_</t>
  </si>
  <si>
    <t xml:space="preserve">MATRIX - </t>
  </si>
  <si>
    <t>Для корректного подбора сначала выберите УСО1 (первый фильтр по цифрам), затем остальные</t>
  </si>
  <si>
    <t>УСО</t>
  </si>
  <si>
    <t>Modem,SD Card</t>
  </si>
  <si>
    <t>Дисплей,клавиатура,Modem,SD Card</t>
  </si>
  <si>
    <t>Модуль NA-022 (RS32+ETH)</t>
  </si>
  <si>
    <t>30-0</t>
  </si>
  <si>
    <t>30-3</t>
  </si>
  <si>
    <t>Modem,SD Card, морозоустойочивый</t>
  </si>
  <si>
    <t>цпу</t>
  </si>
  <si>
    <t>Trim5 - 3012-65-2</t>
  </si>
  <si>
    <t>Trim5 - 1060-20-2</t>
  </si>
  <si>
    <t>Trim5 - 1061-20-2</t>
  </si>
  <si>
    <t>Trim5 - 4260-20-2</t>
  </si>
  <si>
    <t>Trim5 - 4261-20-2</t>
  </si>
  <si>
    <t>MTBus - FMR</t>
  </si>
  <si>
    <t>Поддерживается</t>
  </si>
  <si>
    <t>Заготовки</t>
  </si>
  <si>
    <t>SMH5 - 1002-00-0</t>
  </si>
  <si>
    <t>SMH5 - MRL - 1000</t>
  </si>
  <si>
    <t>MRL - 1000-10-4</t>
  </si>
  <si>
    <t>MRL - 1100-10-4</t>
  </si>
  <si>
    <t>MRL - 1300-10-4</t>
  </si>
  <si>
    <t>MRL - 2000-10-4</t>
  </si>
  <si>
    <t>MRL - 2100-10-4</t>
  </si>
  <si>
    <t>MRL - 2200-10-4</t>
  </si>
  <si>
    <t>MRL - 3000-10-4</t>
  </si>
  <si>
    <t>MRL - 3300-10-4</t>
  </si>
  <si>
    <t>MRL - 3400-10-4</t>
  </si>
  <si>
    <t>90-4</t>
  </si>
  <si>
    <t>70-4</t>
  </si>
  <si>
    <t>70 - 4</t>
  </si>
  <si>
    <t>90 - 4</t>
  </si>
  <si>
    <t>Подбор оборудования</t>
  </si>
  <si>
    <t>Исходные данные</t>
  </si>
  <si>
    <t>DO реле</t>
  </si>
  <si>
    <t>DO сим</t>
  </si>
  <si>
    <t>DO опт</t>
  </si>
  <si>
    <t>AI(универс.)</t>
  </si>
  <si>
    <t>AO(0-10В)</t>
  </si>
  <si>
    <t>Решение</t>
  </si>
  <si>
    <t>цена</t>
  </si>
  <si>
    <t>кол-во</t>
  </si>
  <si>
    <t>/</t>
  </si>
  <si>
    <t>Без контроллера</t>
  </si>
  <si>
    <t>Используем ресурсы контроллера при расчете?</t>
  </si>
  <si>
    <t>Нет</t>
  </si>
  <si>
    <t>Да</t>
  </si>
  <si>
    <t xml:space="preserve">DO </t>
  </si>
  <si>
    <t>Ограничение для "Поиска решений"</t>
  </si>
  <si>
    <t>Контроллера не больше</t>
  </si>
  <si>
    <t>Не различать DOUT</t>
  </si>
  <si>
    <t>Всего головных устройств</t>
  </si>
  <si>
    <t>Всего MRL</t>
  </si>
  <si>
    <t>Всего MRL можно</t>
  </si>
  <si>
    <t>FMR - 1020 - 10 - 4</t>
  </si>
  <si>
    <t>FMR - 1021 - 10 - 4</t>
  </si>
  <si>
    <t>FMR - 1320 - 10 - 4</t>
  </si>
  <si>
    <t>FMR  -1321 - 10 - 4</t>
  </si>
  <si>
    <t>FMR - 2222 - 10 - 4</t>
  </si>
  <si>
    <t>FMR - 3022 - 10 - 4</t>
  </si>
  <si>
    <t>FMR - 3030 - 10 - 4</t>
  </si>
  <si>
    <t>Пиксель-голова</t>
  </si>
  <si>
    <t>SMH4 голова</t>
  </si>
  <si>
    <t>Matrix - 1020 - xx</t>
  </si>
  <si>
    <t>Matrix - 1021 - xx</t>
  </si>
  <si>
    <t>Matrix - 1022-  xx</t>
  </si>
  <si>
    <t>Matrix - 1320 - xx</t>
  </si>
  <si>
    <t>Matrix - 1321 - xx</t>
  </si>
  <si>
    <t>Matrix - 2222 - xx</t>
  </si>
  <si>
    <t>Matrix - 2230 - xx</t>
  </si>
  <si>
    <t>Matrix - 3030 - xx</t>
  </si>
  <si>
    <t>Pixel2 - 1020 - xx</t>
  </si>
  <si>
    <t>Pixel2 - 1021 - xx</t>
  </si>
  <si>
    <t>Pixel2 - 1320 - xx</t>
  </si>
  <si>
    <t>Pixel2 - 1321 - xx</t>
  </si>
  <si>
    <t>Pixel2 - 3022 - xx</t>
  </si>
  <si>
    <t>Pixel2 - 2222 - xx</t>
  </si>
  <si>
    <t>SMH5 - 1002 - 00</t>
  </si>
  <si>
    <t>SMH4 - 1011 - 00</t>
  </si>
  <si>
    <t>Matrix - xxxx-xx</t>
  </si>
  <si>
    <t>SMH4 - 1011-00</t>
  </si>
  <si>
    <t>SMH5 - 1002-00</t>
  </si>
  <si>
    <t>Всего PLC</t>
  </si>
  <si>
    <t>PLC не больше</t>
  </si>
  <si>
    <t>Pixel2 - xxxx-xx</t>
  </si>
</sst>
</file>

<file path=xl/styles.xml><?xml version="1.0" encoding="utf-8"?>
<styleSheet xmlns="http://schemas.openxmlformats.org/spreadsheetml/2006/main">
  <numFmts count="5">
    <numFmt numFmtId="164" formatCode="#,##0.00_р_."/>
    <numFmt numFmtId="165" formatCode="#,##0.00\ [$€-47E]"/>
    <numFmt numFmtId="166" formatCode="_-* #,##0.00\ [$€-1]_-;\-* #,##0.00\ [$€-1]_-;_-* &quot;-&quot;??\ [$€-1]_-;_-@_-"/>
    <numFmt numFmtId="167" formatCode="#,##0.0000"/>
    <numFmt numFmtId="168" formatCode="[$€-2]\ #,##0.00"/>
  </numFmts>
  <fonts count="4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name val="Arial Cyr"/>
      <charset val="204"/>
    </font>
    <font>
      <b/>
      <u/>
      <sz val="10"/>
      <name val="Arial Cyr"/>
      <charset val="204"/>
    </font>
    <font>
      <b/>
      <sz val="9"/>
      <name val="Arial Cyr"/>
      <charset val="204"/>
    </font>
    <font>
      <sz val="9"/>
      <name val="Arial Cyr"/>
      <charset val="204"/>
    </font>
    <font>
      <sz val="11"/>
      <color indexed="8"/>
      <name val="Calibri"/>
      <family val="2"/>
    </font>
    <font>
      <b/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b/>
      <sz val="24"/>
      <color rgb="FF656575"/>
      <name val="Tahoma"/>
      <family val="2"/>
      <charset val="204"/>
    </font>
    <font>
      <sz val="13.1"/>
      <color rgb="FF656575"/>
      <name val="Tahoma"/>
      <family val="2"/>
      <charset val="204"/>
    </font>
    <font>
      <b/>
      <sz val="11"/>
      <color rgb="FF656575"/>
      <name val="Tahoma"/>
      <family val="2"/>
      <charset val="204"/>
    </font>
    <font>
      <sz val="10"/>
      <color rgb="FF656575"/>
      <name val="Tahoma"/>
      <family val="2"/>
      <charset val="204"/>
    </font>
    <font>
      <b/>
      <sz val="20"/>
      <color rgb="FF656575"/>
      <name val="Tahoma"/>
      <family val="2"/>
      <charset val="204"/>
    </font>
    <font>
      <sz val="11"/>
      <color theme="0" tint="-0.249977111117893"/>
      <name val="Tahoma"/>
      <family val="2"/>
      <charset val="204"/>
    </font>
    <font>
      <b/>
      <sz val="11"/>
      <color theme="0" tint="-0.499984740745262"/>
      <name val="Tahoma"/>
      <family val="2"/>
      <charset val="204"/>
    </font>
    <font>
      <b/>
      <sz val="8"/>
      <color theme="0" tint="-0.499984740745262"/>
      <name val="Tahoma"/>
      <family val="2"/>
      <charset val="204"/>
    </font>
    <font>
      <sz val="11"/>
      <color theme="0" tint="-0.499984740745262"/>
      <name val="Tahoma"/>
      <family val="2"/>
      <charset val="204"/>
    </font>
    <font>
      <sz val="11"/>
      <color theme="0"/>
      <name val="Tahoma"/>
      <family val="2"/>
      <charset val="204"/>
    </font>
    <font>
      <sz val="9"/>
      <color theme="0"/>
      <name val="Verdana"/>
      <family val="2"/>
      <charset val="204"/>
    </font>
    <font>
      <sz val="11"/>
      <color theme="0"/>
      <name val="Calibri"/>
      <family val="2"/>
      <charset val="204"/>
    </font>
    <font>
      <b/>
      <u/>
      <sz val="10"/>
      <color theme="0"/>
      <name val="Arial Cyr"/>
      <charset val="204"/>
    </font>
    <font>
      <sz val="10"/>
      <color theme="0"/>
      <name val="Arial Cyr"/>
      <charset val="204"/>
    </font>
    <font>
      <i/>
      <sz val="11"/>
      <color theme="0"/>
      <name val="Calibri"/>
      <family val="2"/>
      <charset val="204"/>
    </font>
    <font>
      <b/>
      <sz val="9"/>
      <color theme="0"/>
      <name val="Verdana"/>
      <family val="2"/>
      <charset val="204"/>
    </font>
    <font>
      <b/>
      <u/>
      <sz val="11"/>
      <color theme="0"/>
      <name val="Calibri"/>
      <family val="2"/>
      <charset val="204"/>
    </font>
    <font>
      <b/>
      <sz val="10"/>
      <color theme="0"/>
      <name val="Arial Cyr"/>
      <charset val="204"/>
    </font>
    <font>
      <sz val="8"/>
      <color theme="0"/>
      <name val="Arial Cyr"/>
      <charset val="204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5" fillId="4" borderId="0" applyNumberFormat="0" applyBorder="0" applyAlignment="0" applyProtection="0"/>
    <xf numFmtId="0" fontId="7" fillId="0" borderId="0"/>
    <xf numFmtId="0" fontId="14" fillId="0" borderId="0"/>
    <xf numFmtId="0" fontId="14" fillId="0" borderId="0"/>
    <xf numFmtId="0" fontId="12" fillId="0" borderId="0">
      <alignment horizontal="left"/>
    </xf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6" fillId="5" borderId="0" applyNumberFormat="0" applyBorder="0" applyAlignment="0" applyProtection="0"/>
  </cellStyleXfs>
  <cellXfs count="240">
    <xf numFmtId="0" fontId="0" fillId="0" borderId="0" xfId="0"/>
    <xf numFmtId="0" fontId="3" fillId="2" borderId="0" xfId="10" applyFont="1" applyFill="1"/>
    <xf numFmtId="0" fontId="4" fillId="2" borderId="0" xfId="10" applyFont="1" applyFill="1"/>
    <xf numFmtId="0" fontId="3" fillId="2" borderId="0" xfId="10" applyFill="1"/>
    <xf numFmtId="0" fontId="3" fillId="2" borderId="0" xfId="10" applyFill="1" applyBorder="1"/>
    <xf numFmtId="0" fontId="3" fillId="2" borderId="0" xfId="10" applyFill="1" applyBorder="1" applyAlignment="1">
      <alignment vertical="top"/>
    </xf>
    <xf numFmtId="0" fontId="4" fillId="2" borderId="0" xfId="10" applyFont="1" applyFill="1" applyBorder="1" applyAlignment="1">
      <alignment vertical="top"/>
    </xf>
    <xf numFmtId="0" fontId="0" fillId="2" borderId="0" xfId="0" applyFill="1"/>
    <xf numFmtId="0" fontId="3" fillId="2" borderId="0" xfId="10" applyFill="1" applyAlignment="1">
      <alignment vertical="top"/>
    </xf>
    <xf numFmtId="0" fontId="4" fillId="2" borderId="0" xfId="10" applyFont="1" applyFill="1" applyAlignment="1">
      <alignment vertical="top"/>
    </xf>
    <xf numFmtId="0" fontId="4" fillId="2" borderId="0" xfId="10" applyFont="1" applyFill="1" applyBorder="1"/>
    <xf numFmtId="0" fontId="3" fillId="2" borderId="3" xfId="10" applyFont="1" applyFill="1" applyBorder="1" applyAlignment="1">
      <alignment vertical="top"/>
    </xf>
    <xf numFmtId="0" fontId="3" fillId="2" borderId="4" xfId="10" applyFont="1" applyFill="1" applyBorder="1" applyAlignment="1">
      <alignment vertical="top"/>
    </xf>
    <xf numFmtId="0" fontId="3" fillId="2" borderId="5" xfId="10" applyFont="1" applyFill="1" applyBorder="1" applyAlignment="1">
      <alignment vertical="top"/>
    </xf>
    <xf numFmtId="0" fontId="3" fillId="2" borderId="0" xfId="10" applyFill="1" applyAlignment="1"/>
    <xf numFmtId="0" fontId="3" fillId="2" borderId="0" xfId="10" applyFont="1" applyFill="1" applyAlignment="1"/>
    <xf numFmtId="166" fontId="5" fillId="3" borderId="1" xfId="10" applyNumberFormat="1" applyFont="1" applyFill="1" applyBorder="1" applyAlignment="1">
      <alignment horizontal="center" vertical="center"/>
    </xf>
    <xf numFmtId="0" fontId="17" fillId="6" borderId="0" xfId="3" applyFont="1" applyFill="1" applyAlignment="1">
      <alignment horizontal="left" vertical="top"/>
    </xf>
    <xf numFmtId="0" fontId="17" fillId="6" borderId="0" xfId="3" applyFont="1" applyFill="1" applyAlignment="1">
      <alignment horizontal="right" vertical="top"/>
    </xf>
    <xf numFmtId="0" fontId="17" fillId="0" borderId="0" xfId="3" applyFont="1" applyAlignment="1">
      <alignment horizontal="left" vertical="top"/>
    </xf>
    <xf numFmtId="0" fontId="18" fillId="6" borderId="0" xfId="3" applyFont="1" applyFill="1" applyAlignment="1">
      <alignment vertical="center"/>
    </xf>
    <xf numFmtId="0" fontId="19" fillId="6" borderId="0" xfId="3" applyFont="1" applyFill="1" applyAlignment="1">
      <alignment vertical="top"/>
    </xf>
    <xf numFmtId="0" fontId="20" fillId="6" borderId="0" xfId="3" applyFont="1" applyFill="1" applyAlignment="1">
      <alignment horizontal="left" vertical="top"/>
    </xf>
    <xf numFmtId="0" fontId="21" fillId="6" borderId="0" xfId="3" applyFont="1" applyFill="1" applyBorder="1" applyAlignment="1">
      <alignment horizontal="left" vertical="center"/>
    </xf>
    <xf numFmtId="0" fontId="21" fillId="6" borderId="0" xfId="3" applyFont="1" applyFill="1" applyAlignment="1">
      <alignment horizontal="left" vertical="top"/>
    </xf>
    <xf numFmtId="0" fontId="20" fillId="6" borderId="8" xfId="3" applyFont="1" applyFill="1" applyBorder="1" applyAlignment="1">
      <alignment horizontal="left" vertical="center"/>
    </xf>
    <xf numFmtId="0" fontId="20" fillId="6" borderId="8" xfId="3" applyFont="1" applyFill="1" applyBorder="1" applyAlignment="1">
      <alignment horizontal="left" vertical="top"/>
    </xf>
    <xf numFmtId="0" fontId="20" fillId="6" borderId="8" xfId="3" applyFont="1" applyFill="1" applyBorder="1" applyAlignment="1">
      <alignment horizontal="center" vertical="center"/>
    </xf>
    <xf numFmtId="0" fontId="17" fillId="6" borderId="8" xfId="3" applyFont="1" applyFill="1" applyBorder="1" applyAlignment="1">
      <alignment horizontal="center" vertical="center"/>
    </xf>
    <xf numFmtId="0" fontId="17" fillId="6" borderId="8" xfId="3" applyFont="1" applyFill="1" applyBorder="1" applyAlignment="1">
      <alignment horizontal="left" vertical="top"/>
    </xf>
    <xf numFmtId="0" fontId="17" fillId="6" borderId="0" xfId="3" applyFont="1" applyFill="1" applyBorder="1" applyAlignment="1">
      <alignment horizontal="left" vertical="top"/>
    </xf>
    <xf numFmtId="0" fontId="17" fillId="6" borderId="9" xfId="3" applyFont="1" applyFill="1" applyBorder="1" applyAlignment="1">
      <alignment horizontal="left" vertical="center" wrapText="1"/>
    </xf>
    <xf numFmtId="0" fontId="20" fillId="6" borderId="9" xfId="3" applyFont="1" applyFill="1" applyBorder="1" applyAlignment="1">
      <alignment horizontal="center" vertical="center"/>
    </xf>
    <xf numFmtId="0" fontId="17" fillId="6" borderId="10" xfId="3" applyFont="1" applyFill="1" applyBorder="1" applyAlignment="1">
      <alignment horizontal="left" vertical="center" wrapText="1"/>
    </xf>
    <xf numFmtId="0" fontId="20" fillId="6" borderId="10" xfId="3" applyFont="1" applyFill="1" applyBorder="1" applyAlignment="1">
      <alignment horizontal="center" vertical="center"/>
    </xf>
    <xf numFmtId="0" fontId="17" fillId="6" borderId="8" xfId="3" applyFont="1" applyFill="1" applyBorder="1" applyAlignment="1">
      <alignment horizontal="left" vertical="center" wrapText="1"/>
    </xf>
    <xf numFmtId="168" fontId="22" fillId="6" borderId="8" xfId="3" applyNumberFormat="1" applyFont="1" applyFill="1" applyBorder="1" applyAlignment="1">
      <alignment horizontal="center" vertical="center"/>
    </xf>
    <xf numFmtId="0" fontId="17" fillId="0" borderId="0" xfId="3" applyFont="1" applyAlignment="1">
      <alignment horizontal="right" vertical="top"/>
    </xf>
    <xf numFmtId="0" fontId="23" fillId="6" borderId="0" xfId="3" applyFont="1" applyFill="1" applyAlignment="1">
      <alignment horizontal="left" vertical="top"/>
    </xf>
    <xf numFmtId="0" fontId="17" fillId="6" borderId="11" xfId="3" applyFont="1" applyFill="1" applyBorder="1" applyAlignment="1">
      <alignment horizontal="left" vertical="top"/>
    </xf>
    <xf numFmtId="0" fontId="20" fillId="6" borderId="8" xfId="3" applyFont="1" applyFill="1" applyBorder="1" applyAlignment="1" applyProtection="1">
      <alignment horizontal="center" vertical="center"/>
      <protection locked="0"/>
    </xf>
    <xf numFmtId="0" fontId="24" fillId="6" borderId="8" xfId="3" applyFont="1" applyFill="1" applyBorder="1" applyAlignment="1">
      <alignment horizontal="center" vertical="center"/>
    </xf>
    <xf numFmtId="0" fontId="25" fillId="6" borderId="0" xfId="3" applyFont="1" applyFill="1" applyAlignment="1">
      <alignment horizontal="left" vertical="top"/>
    </xf>
    <xf numFmtId="0" fontId="17" fillId="6" borderId="0" xfId="3" applyFont="1" applyFill="1" applyBorder="1" applyAlignment="1">
      <alignment horizontal="right" vertical="top"/>
    </xf>
    <xf numFmtId="0" fontId="26" fillId="6" borderId="0" xfId="3" applyFont="1" applyFill="1" applyAlignment="1">
      <alignment horizontal="left" vertical="top"/>
    </xf>
    <xf numFmtId="0" fontId="8" fillId="6" borderId="8" xfId="3" applyFont="1" applyFill="1" applyBorder="1" applyAlignment="1">
      <alignment horizontal="center" vertical="top"/>
    </xf>
    <xf numFmtId="49" fontId="9" fillId="6" borderId="9" xfId="3" applyNumberFormat="1" applyFont="1" applyFill="1" applyBorder="1" applyAlignment="1">
      <alignment horizontal="center" vertical="top"/>
    </xf>
    <xf numFmtId="0" fontId="9" fillId="6" borderId="9" xfId="3" applyFont="1" applyFill="1" applyBorder="1" applyAlignment="1">
      <alignment horizontal="center" vertical="top"/>
    </xf>
    <xf numFmtId="0" fontId="9" fillId="6" borderId="12" xfId="3" applyFont="1" applyFill="1" applyBorder="1" applyAlignment="1">
      <alignment horizontal="center" vertical="top"/>
    </xf>
    <xf numFmtId="0" fontId="9" fillId="6" borderId="0" xfId="3" applyFont="1" applyFill="1" applyBorder="1" applyAlignment="1">
      <alignment horizontal="center" vertical="top"/>
    </xf>
    <xf numFmtId="0" fontId="24" fillId="6" borderId="8" xfId="3" applyFont="1" applyFill="1" applyBorder="1" applyAlignment="1">
      <alignment horizontal="left" vertical="center"/>
    </xf>
    <xf numFmtId="49" fontId="24" fillId="6" borderId="8" xfId="3" applyNumberFormat="1" applyFont="1" applyFill="1" applyBorder="1" applyAlignment="1">
      <alignment horizontal="center" vertical="center"/>
    </xf>
    <xf numFmtId="0" fontId="20" fillId="6" borderId="4" xfId="3" applyFont="1" applyFill="1" applyBorder="1" applyAlignment="1">
      <alignment horizontal="left" vertical="center"/>
    </xf>
    <xf numFmtId="0" fontId="27" fillId="6" borderId="0" xfId="3" applyFont="1" applyFill="1" applyBorder="1" applyAlignment="1">
      <alignment horizontal="left" vertical="top"/>
    </xf>
    <xf numFmtId="0" fontId="27" fillId="6" borderId="0" xfId="3" applyFont="1" applyFill="1" applyBorder="1" applyAlignment="1">
      <alignment horizontal="right" vertical="top"/>
    </xf>
    <xf numFmtId="0" fontId="24" fillId="6" borderId="8" xfId="3" applyFont="1" applyFill="1" applyBorder="1" applyAlignment="1" applyProtection="1">
      <alignment horizontal="right" vertical="center"/>
      <protection locked="0"/>
    </xf>
    <xf numFmtId="0" fontId="24" fillId="6" borderId="8" xfId="3" applyFont="1" applyFill="1" applyBorder="1" applyAlignment="1" applyProtection="1">
      <alignment horizontal="left" vertical="center"/>
      <protection locked="0"/>
    </xf>
    <xf numFmtId="49" fontId="27" fillId="6" borderId="0" xfId="3" applyNumberFormat="1" applyFont="1" applyFill="1" applyBorder="1" applyAlignment="1">
      <alignment horizontal="left" vertical="top"/>
    </xf>
    <xf numFmtId="49" fontId="28" fillId="6" borderId="0" xfId="3" applyNumberFormat="1" applyFont="1" applyFill="1" applyBorder="1" applyAlignment="1">
      <alignment horizontal="left" vertical="top"/>
    </xf>
    <xf numFmtId="0" fontId="28" fillId="6" borderId="0" xfId="3" applyFont="1" applyFill="1" applyBorder="1" applyAlignment="1">
      <alignment horizontal="left" vertical="top"/>
    </xf>
    <xf numFmtId="0" fontId="29" fillId="6" borderId="0" xfId="0" applyFont="1" applyFill="1" applyBorder="1"/>
    <xf numFmtId="0" fontId="29" fillId="6" borderId="0" xfId="0" applyFont="1" applyFill="1" applyBorder="1" applyProtection="1">
      <protection locked="0"/>
    </xf>
    <xf numFmtId="0" fontId="30" fillId="6" borderId="0" xfId="10" applyFont="1" applyFill="1" applyBorder="1" applyAlignment="1">
      <alignment horizontal="center"/>
    </xf>
    <xf numFmtId="0" fontId="31" fillId="6" borderId="0" xfId="10" applyFont="1" applyFill="1" applyBorder="1"/>
    <xf numFmtId="0" fontId="31" fillId="6" borderId="0" xfId="10" applyFont="1" applyFill="1" applyBorder="1" applyProtection="1">
      <protection locked="0"/>
    </xf>
    <xf numFmtId="0" fontId="31" fillId="6" borderId="0" xfId="10" applyFont="1" applyFill="1" applyBorder="1" applyAlignment="1">
      <alignment vertical="center"/>
    </xf>
    <xf numFmtId="165" fontId="32" fillId="6" borderId="0" xfId="0" applyNumberFormat="1" applyFont="1" applyFill="1" applyBorder="1"/>
    <xf numFmtId="165" fontId="31" fillId="6" borderId="0" xfId="10" applyNumberFormat="1" applyFont="1" applyFill="1" applyBorder="1" applyProtection="1">
      <protection locked="0"/>
    </xf>
    <xf numFmtId="0" fontId="31" fillId="6" borderId="0" xfId="10" applyFont="1" applyFill="1" applyBorder="1" applyAlignment="1">
      <alignment vertical="top"/>
    </xf>
    <xf numFmtId="165" fontId="31" fillId="6" borderId="0" xfId="10" applyNumberFormat="1" applyFont="1" applyFill="1" applyBorder="1"/>
    <xf numFmtId="0" fontId="31" fillId="6" borderId="0" xfId="10" applyFont="1" applyFill="1" applyBorder="1" applyAlignment="1">
      <alignment horizontal="left" vertical="center"/>
    </xf>
    <xf numFmtId="0" fontId="29" fillId="6" borderId="0" xfId="0" applyFont="1" applyFill="1" applyBorder="1" applyAlignment="1">
      <alignment horizontal="right"/>
    </xf>
    <xf numFmtId="0" fontId="29" fillId="6" borderId="0" xfId="0" applyFont="1" applyFill="1" applyBorder="1" applyAlignment="1">
      <alignment horizontal="center"/>
    </xf>
    <xf numFmtId="0" fontId="29" fillId="6" borderId="0" xfId="0" applyFont="1" applyFill="1" applyBorder="1" applyAlignment="1" applyProtection="1">
      <alignment horizontal="center"/>
      <protection locked="0"/>
    </xf>
    <xf numFmtId="4" fontId="32" fillId="6" borderId="0" xfId="0" applyNumberFormat="1" applyFont="1" applyFill="1" applyBorder="1" applyProtection="1">
      <protection locked="0"/>
    </xf>
    <xf numFmtId="0" fontId="31" fillId="6" borderId="0" xfId="10" applyFont="1" applyFill="1" applyBorder="1" applyAlignment="1">
      <alignment horizontal="left"/>
    </xf>
    <xf numFmtId="0" fontId="31" fillId="6" borderId="0" xfId="10" applyFont="1" applyFill="1" applyBorder="1" applyAlignment="1">
      <alignment horizontal="center"/>
    </xf>
    <xf numFmtId="167" fontId="32" fillId="6" borderId="0" xfId="0" applyNumberFormat="1" applyFont="1" applyFill="1" applyBorder="1"/>
    <xf numFmtId="0" fontId="29" fillId="6" borderId="0" xfId="0" applyFont="1" applyFill="1" applyBorder="1" applyAlignment="1">
      <alignment horizontal="left"/>
    </xf>
    <xf numFmtId="0" fontId="29" fillId="6" borderId="0" xfId="0" applyNumberFormat="1" applyFont="1" applyFill="1" applyBorder="1" applyAlignment="1">
      <alignment horizontal="center"/>
    </xf>
    <xf numFmtId="49" fontId="29" fillId="6" borderId="0" xfId="0" applyNumberFormat="1" applyFont="1" applyFill="1" applyBorder="1" applyAlignment="1">
      <alignment horizontal="right"/>
    </xf>
    <xf numFmtId="0" fontId="31" fillId="6" borderId="0" xfId="10" applyFont="1" applyFill="1" applyBorder="1" applyAlignment="1">
      <alignment horizontal="right"/>
    </xf>
    <xf numFmtId="49" fontId="31" fillId="6" borderId="0" xfId="10" applyNumberFormat="1" applyFont="1" applyFill="1" applyBorder="1" applyAlignment="1">
      <alignment horizontal="center"/>
    </xf>
    <xf numFmtId="0" fontId="31" fillId="6" borderId="0" xfId="8" applyFont="1" applyFill="1" applyBorder="1"/>
    <xf numFmtId="49" fontId="31" fillId="6" borderId="0" xfId="8" applyNumberFormat="1" applyFont="1" applyFill="1" applyBorder="1" applyAlignment="1">
      <alignment horizontal="right"/>
    </xf>
    <xf numFmtId="165" fontId="32" fillId="6" borderId="0" xfId="11" applyNumberFormat="1" applyFont="1" applyFill="1" applyBorder="1"/>
    <xf numFmtId="0" fontId="31" fillId="6" borderId="0" xfId="10" applyFont="1" applyFill="1" applyBorder="1" applyAlignment="1">
      <alignment horizontal="center" vertical="top"/>
    </xf>
    <xf numFmtId="0" fontId="31" fillId="6" borderId="0" xfId="8" applyFont="1" applyFill="1" applyBorder="1" applyAlignment="1">
      <alignment horizontal="left"/>
    </xf>
    <xf numFmtId="0" fontId="31" fillId="6" borderId="0" xfId="9" applyFont="1" applyFill="1" applyBorder="1" applyAlignment="1">
      <alignment horizontal="center"/>
    </xf>
    <xf numFmtId="0" fontId="31" fillId="6" borderId="0" xfId="8" applyFont="1" applyFill="1" applyBorder="1" applyAlignment="1">
      <alignment horizontal="center"/>
    </xf>
    <xf numFmtId="0" fontId="28" fillId="6" borderId="0" xfId="3" applyFont="1" applyFill="1" applyBorder="1" applyAlignment="1" applyProtection="1">
      <alignment horizontal="left" vertical="top"/>
      <protection locked="0"/>
    </xf>
    <xf numFmtId="0" fontId="33" fillId="6" borderId="0" xfId="3" applyFont="1" applyFill="1" applyBorder="1" applyAlignment="1">
      <alignment horizontal="left" vertical="top"/>
    </xf>
    <xf numFmtId="0" fontId="28" fillId="6" borderId="0" xfId="3" applyNumberFormat="1" applyFont="1" applyFill="1" applyBorder="1" applyAlignment="1">
      <alignment horizontal="left" vertical="top"/>
    </xf>
    <xf numFmtId="0" fontId="28" fillId="6" borderId="0" xfId="0" applyNumberFormat="1" applyFont="1" applyFill="1" applyBorder="1" applyAlignment="1">
      <alignment horizontal="left" vertical="top"/>
    </xf>
    <xf numFmtId="4" fontId="28" fillId="6" borderId="0" xfId="3" applyNumberFormat="1" applyFont="1" applyFill="1" applyBorder="1" applyAlignment="1">
      <alignment horizontal="left" vertical="top"/>
    </xf>
    <xf numFmtId="2" fontId="28" fillId="6" borderId="0" xfId="3" applyNumberFormat="1" applyFont="1" applyFill="1" applyBorder="1" applyAlignment="1">
      <alignment horizontal="left" vertical="top"/>
    </xf>
    <xf numFmtId="49" fontId="29" fillId="6" borderId="0" xfId="0" applyNumberFormat="1" applyFont="1" applyFill="1" applyBorder="1"/>
    <xf numFmtId="2" fontId="29" fillId="6" borderId="0" xfId="0" applyNumberFormat="1" applyFont="1" applyFill="1" applyBorder="1"/>
    <xf numFmtId="0" fontId="28" fillId="6" borderId="0" xfId="0" applyFont="1" applyFill="1" applyBorder="1" applyAlignment="1">
      <alignment horizontal="left"/>
    </xf>
    <xf numFmtId="0" fontId="34" fillId="6" borderId="0" xfId="0" applyFont="1" applyFill="1" applyBorder="1"/>
    <xf numFmtId="0" fontId="35" fillId="6" borderId="0" xfId="10" applyFont="1" applyFill="1" applyBorder="1" applyAlignment="1">
      <alignment vertical="center"/>
    </xf>
    <xf numFmtId="0" fontId="31" fillId="6" borderId="0" xfId="10" applyFont="1" applyFill="1" applyBorder="1" applyAlignment="1" applyProtection="1">
      <alignment vertical="center"/>
      <protection locked="0"/>
    </xf>
    <xf numFmtId="4" fontId="31" fillId="6" borderId="0" xfId="10" applyNumberFormat="1" applyFont="1" applyFill="1" applyBorder="1" applyAlignment="1">
      <alignment horizontal="right" vertical="center"/>
    </xf>
    <xf numFmtId="0" fontId="36" fillId="6" borderId="0" xfId="10" applyFont="1" applyFill="1" applyBorder="1" applyAlignment="1">
      <alignment horizontal="left"/>
    </xf>
    <xf numFmtId="164" fontId="31" fillId="6" borderId="0" xfId="10" applyNumberFormat="1" applyFont="1" applyFill="1" applyBorder="1" applyAlignment="1">
      <alignment vertical="center"/>
    </xf>
    <xf numFmtId="2" fontId="31" fillId="6" borderId="0" xfId="10" applyNumberFormat="1" applyFont="1" applyFill="1" applyBorder="1" applyAlignment="1">
      <alignment horizontal="center" wrapText="1"/>
    </xf>
    <xf numFmtId="2" fontId="31" fillId="6" borderId="0" xfId="10" applyNumberFormat="1" applyFont="1" applyFill="1" applyBorder="1"/>
    <xf numFmtId="1" fontId="31" fillId="6" borderId="0" xfId="10" applyNumberFormat="1" applyFont="1" applyFill="1" applyBorder="1" applyAlignment="1" applyProtection="1">
      <alignment horizontal="center" vertical="center"/>
      <protection locked="0"/>
    </xf>
    <xf numFmtId="0" fontId="28" fillId="6" borderId="0" xfId="3" applyNumberFormat="1" applyFont="1" applyFill="1" applyBorder="1" applyAlignment="1" applyProtection="1">
      <alignment horizontal="left" vertical="top"/>
      <protection locked="0"/>
    </xf>
    <xf numFmtId="0" fontId="28" fillId="6" borderId="0" xfId="3" applyFont="1" applyFill="1" applyBorder="1" applyAlignment="1">
      <alignment horizontal="left" vertical="top"/>
    </xf>
    <xf numFmtId="0" fontId="28" fillId="6" borderId="0" xfId="3" applyFont="1" applyFill="1" applyBorder="1" applyAlignment="1">
      <alignment vertical="top"/>
    </xf>
    <xf numFmtId="0" fontId="37" fillId="0" borderId="0" xfId="3" applyFont="1" applyBorder="1"/>
    <xf numFmtId="0" fontId="37" fillId="0" borderId="0" xfId="3" applyFont="1" applyBorder="1" applyAlignment="1">
      <alignment shrinkToFit="1"/>
    </xf>
    <xf numFmtId="0" fontId="37" fillId="0" borderId="0" xfId="3" applyFont="1" applyFill="1" applyBorder="1" applyAlignment="1">
      <alignment shrinkToFit="1"/>
    </xf>
    <xf numFmtId="0" fontId="37" fillId="0" borderId="0" xfId="3" applyFont="1" applyBorder="1" applyProtection="1">
      <protection locked="0"/>
    </xf>
    <xf numFmtId="0" fontId="37" fillId="0" borderId="0" xfId="3" applyFont="1" applyBorder="1" applyAlignment="1" applyProtection="1">
      <protection locked="0"/>
    </xf>
    <xf numFmtId="0" fontId="37" fillId="0" borderId="0" xfId="3" applyFont="1" applyFill="1" applyBorder="1" applyAlignment="1" applyProtection="1">
      <protection locked="0"/>
    </xf>
    <xf numFmtId="0" fontId="37" fillId="0" borderId="0" xfId="3" applyFont="1" applyFill="1" applyBorder="1" applyAlignment="1"/>
    <xf numFmtId="0" fontId="37" fillId="0" borderId="0" xfId="3" applyFont="1" applyBorder="1" applyAlignment="1" applyProtection="1">
      <alignment shrinkToFit="1"/>
      <protection locked="0"/>
    </xf>
    <xf numFmtId="0" fontId="37" fillId="0" borderId="0" xfId="3" applyFont="1" applyFill="1" applyBorder="1" applyAlignment="1" applyProtection="1">
      <alignment shrinkToFit="1"/>
      <protection locked="0"/>
    </xf>
    <xf numFmtId="0" fontId="37" fillId="0" borderId="0" xfId="3" applyFont="1" applyFill="1" applyBorder="1" applyProtection="1">
      <protection locked="0"/>
    </xf>
    <xf numFmtId="0" fontId="37" fillId="0" borderId="0" xfId="3" quotePrefix="1" applyNumberFormat="1" applyFont="1" applyBorder="1"/>
    <xf numFmtId="0" fontId="37" fillId="0" borderId="0" xfId="3" applyNumberFormat="1" applyFont="1" applyBorder="1"/>
    <xf numFmtId="0" fontId="37" fillId="6" borderId="0" xfId="3" applyFont="1" applyFill="1" applyBorder="1" applyProtection="1">
      <protection locked="0"/>
    </xf>
    <xf numFmtId="0" fontId="37" fillId="0" borderId="0" xfId="1" applyFont="1" applyFill="1" applyBorder="1" applyProtection="1">
      <protection locked="0"/>
    </xf>
    <xf numFmtId="0" fontId="37" fillId="0" borderId="0" xfId="1" applyFont="1" applyFill="1" applyBorder="1"/>
    <xf numFmtId="0" fontId="37" fillId="6" borderId="0" xfId="3" applyFont="1" applyFill="1" applyBorder="1"/>
    <xf numFmtId="0" fontId="37" fillId="0" borderId="0" xfId="3" applyNumberFormat="1" applyFont="1" applyFill="1" applyBorder="1"/>
    <xf numFmtId="0" fontId="37" fillId="6" borderId="0" xfId="3" applyNumberFormat="1" applyFont="1" applyFill="1" applyBorder="1"/>
    <xf numFmtId="0" fontId="37" fillId="0" borderId="11" xfId="3" applyFont="1" applyBorder="1"/>
    <xf numFmtId="0" fontId="37" fillId="0" borderId="11" xfId="3" applyNumberFormat="1" applyFont="1" applyBorder="1"/>
    <xf numFmtId="0" fontId="37" fillId="6" borderId="11" xfId="3" applyFont="1" applyFill="1" applyBorder="1"/>
    <xf numFmtId="0" fontId="37" fillId="0" borderId="0" xfId="3" applyFont="1" applyFill="1" applyBorder="1"/>
    <xf numFmtId="0" fontId="37" fillId="0" borderId="11" xfId="3" applyFont="1" applyFill="1" applyBorder="1"/>
    <xf numFmtId="0" fontId="37" fillId="0" borderId="11" xfId="3" applyFont="1" applyFill="1" applyBorder="1" applyAlignment="1">
      <alignment shrinkToFit="1"/>
    </xf>
    <xf numFmtId="0" fontId="37" fillId="0" borderId="0" xfId="12" applyFont="1" applyFill="1" applyBorder="1" applyProtection="1">
      <protection locked="0"/>
    </xf>
    <xf numFmtId="0" fontId="37" fillId="0" borderId="0" xfId="12" applyFont="1" applyFill="1" applyBorder="1"/>
    <xf numFmtId="0" fontId="37" fillId="0" borderId="0" xfId="5" applyFont="1" applyBorder="1" applyAlignment="1">
      <alignment vertical="top" wrapText="1"/>
    </xf>
    <xf numFmtId="0" fontId="37" fillId="0" borderId="0" xfId="5" applyNumberFormat="1" applyFont="1" applyBorder="1" applyAlignment="1">
      <alignment horizontal="right" vertical="top"/>
    </xf>
    <xf numFmtId="0" fontId="38" fillId="0" borderId="0" xfId="3" applyFont="1" applyBorder="1" applyProtection="1">
      <protection locked="0"/>
    </xf>
    <xf numFmtId="0" fontId="37" fillId="0" borderId="0" xfId="3" quotePrefix="1" applyFont="1" applyBorder="1" applyProtection="1">
      <protection locked="0"/>
    </xf>
    <xf numFmtId="0" fontId="0" fillId="0" borderId="1" xfId="0" applyBorder="1" applyAlignment="1"/>
    <xf numFmtId="0" fontId="37" fillId="0" borderId="0" xfId="3" applyFont="1" applyBorder="1" applyAlignment="1">
      <alignment horizontal="center" vertical="center"/>
    </xf>
    <xf numFmtId="0" fontId="37" fillId="0" borderId="0" xfId="3" applyFont="1" applyBorder="1" applyAlignment="1">
      <alignment horizontal="center" shrinkToFit="1"/>
    </xf>
    <xf numFmtId="0" fontId="3" fillId="2" borderId="17" xfId="10" applyFont="1" applyFill="1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3" fillId="2" borderId="1" xfId="10" applyFont="1" applyFill="1" applyBorder="1" applyAlignment="1">
      <alignment horizontal="left" vertical="top" wrapText="1"/>
    </xf>
    <xf numFmtId="0" fontId="3" fillId="2" borderId="1" xfId="10" applyFont="1" applyFill="1" applyBorder="1" applyAlignment="1">
      <alignment vertical="top"/>
    </xf>
    <xf numFmtId="0" fontId="3" fillId="3" borderId="1" xfId="10" applyFont="1" applyFill="1" applyBorder="1" applyAlignment="1">
      <alignment horizontal="right" vertical="top"/>
    </xf>
    <xf numFmtId="0" fontId="0" fillId="3" borderId="1" xfId="0" applyFill="1" applyBorder="1" applyAlignment="1">
      <alignment horizontal="right" vertical="top"/>
    </xf>
    <xf numFmtId="0" fontId="3" fillId="2" borderId="3" xfId="10" applyFont="1" applyFill="1" applyBorder="1" applyAlignment="1">
      <alignment vertical="top"/>
    </xf>
    <xf numFmtId="0" fontId="3" fillId="2" borderId="3" xfId="10" applyFont="1" applyFill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" fillId="2" borderId="1" xfId="10" applyFont="1" applyFill="1" applyBorder="1" applyAlignment="1">
      <alignment vertical="top" wrapText="1"/>
    </xf>
    <xf numFmtId="0" fontId="3" fillId="2" borderId="4" xfId="10" applyFont="1" applyFill="1" applyBorder="1" applyAlignment="1">
      <alignment vertical="top"/>
    </xf>
    <xf numFmtId="0" fontId="3" fillId="2" borderId="5" xfId="10" applyFont="1" applyFill="1" applyBorder="1" applyAlignment="1">
      <alignment vertical="top"/>
    </xf>
    <xf numFmtId="0" fontId="3" fillId="6" borderId="4" xfId="10" applyFont="1" applyFill="1" applyBorder="1" applyAlignment="1">
      <alignment horizontal="left" vertical="top" wrapText="1"/>
    </xf>
    <xf numFmtId="0" fontId="3" fillId="2" borderId="5" xfId="10" applyFont="1" applyFill="1" applyBorder="1" applyAlignment="1">
      <alignment horizontal="left" vertical="top" wrapText="1"/>
    </xf>
    <xf numFmtId="0" fontId="4" fillId="2" borderId="8" xfId="10" applyFont="1" applyFill="1" applyBorder="1" applyAlignment="1">
      <alignment vertical="top"/>
    </xf>
    <xf numFmtId="168" fontId="22" fillId="6" borderId="4" xfId="3" applyNumberFormat="1" applyFont="1" applyFill="1" applyBorder="1" applyAlignment="1">
      <alignment horizontal="center" vertical="center"/>
    </xf>
    <xf numFmtId="0" fontId="20" fillId="6" borderId="4" xfId="3" applyFont="1" applyFill="1" applyBorder="1" applyAlignment="1">
      <alignment horizontal="left" vertical="center"/>
    </xf>
    <xf numFmtId="0" fontId="17" fillId="6" borderId="9" xfId="3" applyFont="1" applyFill="1" applyBorder="1" applyAlignment="1">
      <alignment horizontal="left" vertical="center" wrapText="1"/>
    </xf>
    <xf numFmtId="0" fontId="17" fillId="6" borderId="10" xfId="3" applyFont="1" applyFill="1" applyBorder="1" applyAlignment="1">
      <alignment horizontal="left" vertical="center" wrapText="1"/>
    </xf>
    <xf numFmtId="0" fontId="17" fillId="6" borderId="12" xfId="3" applyFont="1" applyFill="1" applyBorder="1" applyAlignment="1">
      <alignment horizontal="left" vertical="center" wrapText="1"/>
    </xf>
    <xf numFmtId="0" fontId="20" fillId="6" borderId="10" xfId="3" applyFont="1" applyFill="1" applyBorder="1" applyAlignment="1">
      <alignment horizontal="center" vertical="center"/>
    </xf>
    <xf numFmtId="0" fontId="20" fillId="6" borderId="12" xfId="3" applyFont="1" applyFill="1" applyBorder="1" applyAlignment="1">
      <alignment horizontal="center" vertical="center"/>
    </xf>
    <xf numFmtId="0" fontId="21" fillId="6" borderId="8" xfId="3" applyFont="1" applyFill="1" applyBorder="1" applyAlignment="1">
      <alignment horizontal="left" vertical="center"/>
    </xf>
    <xf numFmtId="0" fontId="17" fillId="6" borderId="19" xfId="3" applyFont="1" applyFill="1" applyBorder="1" applyAlignment="1">
      <alignment horizontal="center" vertical="center"/>
    </xf>
    <xf numFmtId="0" fontId="18" fillId="6" borderId="0" xfId="3" applyFont="1" applyFill="1" applyAlignment="1">
      <alignment horizontal="left" vertical="center"/>
    </xf>
    <xf numFmtId="0" fontId="19" fillId="6" borderId="0" xfId="3" applyFont="1" applyFill="1" applyAlignment="1">
      <alignment horizontal="left" vertical="top"/>
    </xf>
    <xf numFmtId="0" fontId="26" fillId="6" borderId="0" xfId="3" applyFont="1" applyFill="1" applyAlignment="1">
      <alignment horizontal="left" vertical="top"/>
    </xf>
    <xf numFmtId="0" fontId="17" fillId="6" borderId="19" xfId="3" applyFont="1" applyFill="1" applyBorder="1" applyAlignment="1">
      <alignment horizontal="left" vertical="center" wrapText="1"/>
    </xf>
    <xf numFmtId="0" fontId="39" fillId="0" borderId="1" xfId="0" applyFont="1" applyBorder="1" applyAlignment="1">
      <alignment vertical="top"/>
    </xf>
    <xf numFmtId="0" fontId="3" fillId="2" borderId="4" xfId="10" applyFill="1" applyBorder="1" applyAlignment="1">
      <alignment vertical="top"/>
    </xf>
    <xf numFmtId="0" fontId="3" fillId="2" borderId="5" xfId="10" applyFill="1" applyBorder="1" applyAlignment="1">
      <alignment vertical="top"/>
    </xf>
    <xf numFmtId="0" fontId="39" fillId="0" borderId="1" xfId="0" applyFont="1" applyBorder="1" applyAlignment="1"/>
    <xf numFmtId="0" fontId="3" fillId="2" borderId="1" xfId="10" applyFill="1" applyBorder="1" applyAlignment="1">
      <alignment vertical="top"/>
    </xf>
    <xf numFmtId="0" fontId="3" fillId="2" borderId="17" xfId="10" applyFont="1" applyFill="1" applyBorder="1" applyAlignment="1">
      <alignment vertical="top"/>
    </xf>
    <xf numFmtId="0" fontId="3" fillId="2" borderId="11" xfId="10" applyFont="1" applyFill="1" applyBorder="1" applyAlignment="1">
      <alignment vertical="top"/>
    </xf>
    <xf numFmtId="0" fontId="3" fillId="2" borderId="18" xfId="10" applyFont="1" applyFill="1" applyBorder="1" applyAlignment="1">
      <alignment vertical="top"/>
    </xf>
    <xf numFmtId="0" fontId="3" fillId="2" borderId="14" xfId="10" applyFont="1" applyFill="1" applyBorder="1" applyAlignment="1">
      <alignment vertical="top"/>
    </xf>
    <xf numFmtId="0" fontId="3" fillId="6" borderId="0" xfId="10" applyFont="1" applyFill="1" applyBorder="1" applyAlignment="1">
      <alignment vertical="top"/>
    </xf>
    <xf numFmtId="0" fontId="3" fillId="2" borderId="6" xfId="10" applyFont="1" applyFill="1" applyBorder="1" applyAlignment="1">
      <alignment vertical="top"/>
    </xf>
    <xf numFmtId="0" fontId="6" fillId="2" borderId="17" xfId="10" applyFont="1" applyFill="1" applyBorder="1" applyAlignment="1">
      <alignment vertical="top" wrapText="1"/>
    </xf>
    <xf numFmtId="0" fontId="6" fillId="2" borderId="11" xfId="10" applyFont="1" applyFill="1" applyBorder="1" applyAlignment="1">
      <alignment vertical="top" wrapText="1"/>
    </xf>
    <xf numFmtId="0" fontId="6" fillId="2" borderId="18" xfId="10" applyFont="1" applyFill="1" applyBorder="1" applyAlignment="1">
      <alignment vertical="top" wrapText="1"/>
    </xf>
    <xf numFmtId="0" fontId="6" fillId="2" borderId="14" xfId="10" applyFont="1" applyFill="1" applyBorder="1" applyAlignment="1">
      <alignment vertical="top" wrapText="1"/>
    </xf>
    <xf numFmtId="0" fontId="6" fillId="2" borderId="0" xfId="10" applyFont="1" applyFill="1" applyBorder="1" applyAlignment="1">
      <alignment vertical="top" wrapText="1"/>
    </xf>
    <xf numFmtId="0" fontId="6" fillId="2" borderId="6" xfId="10" applyFont="1" applyFill="1" applyBorder="1" applyAlignment="1">
      <alignment vertical="top" wrapText="1"/>
    </xf>
    <xf numFmtId="166" fontId="5" fillId="3" borderId="1" xfId="1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6" fontId="5" fillId="3" borderId="7" xfId="10" applyNumberFormat="1" applyFont="1" applyFill="1" applyBorder="1" applyAlignment="1">
      <alignment horizontal="center" vertical="center"/>
    </xf>
    <xf numFmtId="166" fontId="5" fillId="3" borderId="13" xfId="10" applyNumberFormat="1" applyFont="1" applyFill="1" applyBorder="1" applyAlignment="1">
      <alignment horizontal="center" vertical="center"/>
    </xf>
    <xf numFmtId="0" fontId="3" fillId="2" borderId="15" xfId="10" applyFont="1" applyFill="1" applyBorder="1" applyAlignment="1">
      <alignment vertical="top"/>
    </xf>
    <xf numFmtId="0" fontId="3" fillId="2" borderId="8" xfId="10" applyFont="1" applyFill="1" applyBorder="1" applyAlignment="1">
      <alignment vertical="top"/>
    </xf>
    <xf numFmtId="0" fontId="3" fillId="2" borderId="16" xfId="10" applyFont="1" applyFill="1" applyBorder="1" applyAlignment="1">
      <alignment vertical="top"/>
    </xf>
    <xf numFmtId="166" fontId="5" fillId="3" borderId="2" xfId="10" applyNumberFormat="1" applyFont="1" applyFill="1" applyBorder="1" applyAlignment="1">
      <alignment horizontal="center" vertical="center"/>
    </xf>
    <xf numFmtId="0" fontId="6" fillId="2" borderId="15" xfId="10" applyFont="1" applyFill="1" applyBorder="1" applyAlignment="1">
      <alignment vertical="top" wrapText="1"/>
    </xf>
    <xf numFmtId="0" fontId="6" fillId="2" borderId="8" xfId="10" applyFont="1" applyFill="1" applyBorder="1" applyAlignment="1">
      <alignment vertical="top" wrapText="1"/>
    </xf>
    <xf numFmtId="0" fontId="6" fillId="2" borderId="16" xfId="10" applyFont="1" applyFill="1" applyBorder="1" applyAlignment="1">
      <alignment vertical="top" wrapText="1"/>
    </xf>
    <xf numFmtId="0" fontId="39" fillId="2" borderId="3" xfId="0" applyFont="1" applyFill="1" applyBorder="1" applyAlignment="1">
      <alignment horizontal="left" vertical="top"/>
    </xf>
    <xf numFmtId="0" fontId="39" fillId="2" borderId="4" xfId="0" applyFont="1" applyFill="1" applyBorder="1" applyAlignment="1">
      <alignment horizontal="left" vertical="top"/>
    </xf>
    <xf numFmtId="0" fontId="39" fillId="2" borderId="5" xfId="0" applyFont="1" applyFill="1" applyBorder="1" applyAlignment="1">
      <alignment horizontal="left" vertical="top"/>
    </xf>
    <xf numFmtId="0" fontId="3" fillId="2" borderId="17" xfId="10" applyFont="1" applyFill="1" applyBorder="1" applyAlignment="1">
      <alignment vertical="top" wrapText="1"/>
    </xf>
    <xf numFmtId="0" fontId="3" fillId="2" borderId="11" xfId="10" applyFont="1" applyFill="1" applyBorder="1" applyAlignment="1">
      <alignment vertical="top" wrapText="1"/>
    </xf>
    <xf numFmtId="0" fontId="3" fillId="2" borderId="18" xfId="10" applyFont="1" applyFill="1" applyBorder="1" applyAlignment="1">
      <alignment vertical="top" wrapText="1"/>
    </xf>
    <xf numFmtId="0" fontId="3" fillId="2" borderId="15" xfId="10" applyFont="1" applyFill="1" applyBorder="1" applyAlignment="1">
      <alignment vertical="top" wrapText="1"/>
    </xf>
    <xf numFmtId="0" fontId="3" fillId="2" borderId="8" xfId="10" applyFont="1" applyFill="1" applyBorder="1" applyAlignment="1">
      <alignment vertical="top" wrapText="1"/>
    </xf>
    <xf numFmtId="0" fontId="3" fillId="2" borderId="16" xfId="10" applyFont="1" applyFill="1" applyBorder="1" applyAlignment="1">
      <alignment vertical="top" wrapText="1"/>
    </xf>
    <xf numFmtId="0" fontId="0" fillId="0" borderId="15" xfId="0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16" xfId="0" applyBorder="1" applyAlignment="1">
      <alignment vertical="top"/>
    </xf>
    <xf numFmtId="0" fontId="3" fillId="3" borderId="7" xfId="10" applyFont="1" applyFill="1" applyBorder="1" applyAlignment="1">
      <alignment horizontal="right" vertical="top"/>
    </xf>
    <xf numFmtId="0" fontId="0" fillId="2" borderId="0" xfId="0" applyFill="1" applyBorder="1" applyAlignment="1">
      <alignment vertical="top"/>
    </xf>
    <xf numFmtId="0" fontId="0" fillId="0" borderId="11" xfId="0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0" fontId="3" fillId="2" borderId="3" xfId="10" applyFont="1" applyFill="1" applyBorder="1" applyAlignment="1">
      <alignment vertical="top" wrapText="1"/>
    </xf>
    <xf numFmtId="0" fontId="3" fillId="2" borderId="4" xfId="10" applyFont="1" applyFill="1" applyBorder="1" applyAlignment="1">
      <alignment vertical="top" wrapText="1"/>
    </xf>
    <xf numFmtId="0" fontId="3" fillId="2" borderId="5" xfId="10" applyFont="1" applyFill="1" applyBorder="1" applyAlignment="1">
      <alignment vertical="top" wrapText="1"/>
    </xf>
    <xf numFmtId="0" fontId="3" fillId="2" borderId="1" xfId="10" applyFont="1" applyFill="1" applyBorder="1" applyAlignment="1"/>
    <xf numFmtId="0" fontId="0" fillId="3" borderId="7" xfId="0" applyFill="1" applyBorder="1" applyAlignment="1">
      <alignment horizontal="right" vertical="top"/>
    </xf>
    <xf numFmtId="0" fontId="0" fillId="0" borderId="14" xfId="0" applyBorder="1" applyAlignment="1">
      <alignment vertical="top"/>
    </xf>
    <xf numFmtId="0" fontId="0" fillId="0" borderId="0" xfId="0" applyAlignment="1">
      <alignment vertical="top"/>
    </xf>
    <xf numFmtId="0" fontId="0" fillId="0" borderId="6" xfId="0" applyBorder="1" applyAlignment="1">
      <alignment vertical="top"/>
    </xf>
    <xf numFmtId="0" fontId="0" fillId="2" borderId="11" xfId="0" applyFill="1" applyBorder="1" applyAlignment="1">
      <alignment vertical="top"/>
    </xf>
    <xf numFmtId="0" fontId="0" fillId="2" borderId="18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15" xfId="0" applyFill="1" applyBorder="1" applyAlignment="1">
      <alignment vertical="top"/>
    </xf>
    <xf numFmtId="0" fontId="0" fillId="2" borderId="8" xfId="0" applyFill="1" applyBorder="1" applyAlignment="1">
      <alignment vertical="top"/>
    </xf>
    <xf numFmtId="0" fontId="0" fillId="2" borderId="16" xfId="0" applyFill="1" applyBorder="1" applyAlignment="1">
      <alignment vertical="top"/>
    </xf>
    <xf numFmtId="0" fontId="0" fillId="2" borderId="1" xfId="0" applyFill="1" applyBorder="1" applyAlignment="1">
      <alignment vertical="top"/>
    </xf>
    <xf numFmtId="0" fontId="0" fillId="2" borderId="0" xfId="0" applyFill="1" applyAlignment="1">
      <alignment vertical="top"/>
    </xf>
    <xf numFmtId="0" fontId="0" fillId="2" borderId="15" xfId="0" applyFill="1" applyBorder="1" applyAlignment="1">
      <alignment vertical="top" wrapText="1"/>
    </xf>
    <xf numFmtId="0" fontId="0" fillId="2" borderId="8" xfId="0" applyFill="1" applyBorder="1" applyAlignment="1">
      <alignment vertical="top" wrapText="1"/>
    </xf>
    <xf numFmtId="0" fontId="0" fillId="2" borderId="16" xfId="0" applyFill="1" applyBorder="1" applyAlignment="1">
      <alignment vertical="top" wrapText="1"/>
    </xf>
    <xf numFmtId="0" fontId="28" fillId="6" borderId="0" xfId="3" applyFont="1" applyFill="1" applyBorder="1" applyAlignment="1">
      <alignment horizontal="center" vertical="top"/>
    </xf>
    <xf numFmtId="0" fontId="28" fillId="6" borderId="0" xfId="3" applyFont="1" applyFill="1" applyBorder="1" applyAlignment="1">
      <alignment horizontal="left" vertical="top"/>
    </xf>
  </cellXfs>
  <cellStyles count="13">
    <cellStyle name="Нейтральный 2" xfId="1"/>
    <cellStyle name="Обычный" xfId="0" builtinId="0"/>
    <cellStyle name="Обычный 2" xfId="2"/>
    <cellStyle name="Обычный 2 2" xfId="3"/>
    <cellStyle name="Обычный 2 3" xfId="4"/>
    <cellStyle name="Обычный 2 4" xfId="5"/>
    <cellStyle name="Обычный 3" xfId="6"/>
    <cellStyle name="Обычный 4" xfId="7"/>
    <cellStyle name="Обычный__" xfId="8"/>
    <cellStyle name="Обычный_Matrix" xfId="9"/>
    <cellStyle name="Обычный_SMH2gi" xfId="10"/>
    <cellStyle name="Обычный_Лист1" xfId="11"/>
    <cellStyle name="Хороший 2" xfId="1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518160</xdr:colOff>
      <xdr:row>7</xdr:row>
      <xdr:rowOff>22860</xdr:rowOff>
    </xdr:from>
    <xdr:to>
      <xdr:col>19</xdr:col>
      <xdr:colOff>571500</xdr:colOff>
      <xdr:row>14</xdr:row>
      <xdr:rowOff>426720</xdr:rowOff>
    </xdr:to>
    <xdr:pic>
      <xdr:nvPicPr>
        <xdr:cNvPr id="4106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9120" y="1866900"/>
          <a:ext cx="3931920" cy="2910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2598420</xdr:colOff>
      <xdr:row>6</xdr:row>
      <xdr:rowOff>99060</xdr:rowOff>
    </xdr:from>
    <xdr:to>
      <xdr:col>15</xdr:col>
      <xdr:colOff>601980</xdr:colOff>
      <xdr:row>13</xdr:row>
      <xdr:rowOff>342900</xdr:rowOff>
    </xdr:to>
    <xdr:pic>
      <xdr:nvPicPr>
        <xdr:cNvPr id="29716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61760" y="1950720"/>
          <a:ext cx="5471160" cy="2750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6</xdr:row>
      <xdr:rowOff>144780</xdr:rowOff>
    </xdr:from>
    <xdr:to>
      <xdr:col>14</xdr:col>
      <xdr:colOff>7620</xdr:colOff>
      <xdr:row>13</xdr:row>
      <xdr:rowOff>297180</xdr:rowOff>
    </xdr:to>
    <xdr:pic>
      <xdr:nvPicPr>
        <xdr:cNvPr id="32770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9480" y="1996440"/>
          <a:ext cx="3444240" cy="2659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464820</xdr:colOff>
      <xdr:row>11</xdr:row>
      <xdr:rowOff>121920</xdr:rowOff>
    </xdr:to>
    <xdr:pic>
      <xdr:nvPicPr>
        <xdr:cNvPr id="6144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38700" cy="1882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457200</xdr:colOff>
      <xdr:row>11</xdr:row>
      <xdr:rowOff>121920</xdr:rowOff>
    </xdr:to>
    <xdr:pic>
      <xdr:nvPicPr>
        <xdr:cNvPr id="655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080760" cy="1965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487680</xdr:colOff>
      <xdr:row>9</xdr:row>
      <xdr:rowOff>68580</xdr:rowOff>
    </xdr:to>
    <xdr:pic>
      <xdr:nvPicPr>
        <xdr:cNvPr id="6656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61560" cy="1577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285750</xdr:colOff>
      <xdr:row>0</xdr:row>
      <xdr:rowOff>0</xdr:rowOff>
    </xdr:from>
    <xdr:to>
      <xdr:col>42</xdr:col>
      <xdr:colOff>476250</xdr:colOff>
      <xdr:row>0</xdr:row>
      <xdr:rowOff>0</xdr:rowOff>
    </xdr:to>
    <xdr:sp macro="" textlink="">
      <xdr:nvSpPr>
        <xdr:cNvPr id="9221" name="Text Box 5"/>
        <xdr:cNvSpPr txBox="1">
          <a:spLocks noChangeArrowheads="1"/>
        </xdr:cNvSpPr>
      </xdr:nvSpPr>
      <xdr:spPr bwMode="auto">
        <a:xfrm>
          <a:off x="22840950" y="0"/>
          <a:ext cx="32385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DOUT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 = 5 DOUT 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оптореле, 5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реле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4 = 5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оптореле, 1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реле, 4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симистор</a:t>
          </a:r>
        </a:p>
      </xdr:txBody>
    </xdr:sp>
    <xdr:clientData/>
  </xdr:twoCellAnchor>
  <xdr:twoCellAnchor>
    <xdr:from>
      <xdr:col>35</xdr:col>
      <xdr:colOff>495300</xdr:colOff>
      <xdr:row>0</xdr:row>
      <xdr:rowOff>0</xdr:rowOff>
    </xdr:from>
    <xdr:to>
      <xdr:col>40</xdr:col>
      <xdr:colOff>400050</xdr:colOff>
      <xdr:row>0</xdr:row>
      <xdr:rowOff>0</xdr:rowOff>
    </xdr:to>
    <xdr:sp macro="" textlink="">
      <xdr:nvSpPr>
        <xdr:cNvPr id="9225" name="Text Box 9"/>
        <xdr:cNvSpPr txBox="1">
          <a:spLocks noChangeArrowheads="1"/>
        </xdr:cNvSpPr>
      </xdr:nvSpPr>
      <xdr:spPr bwMode="auto">
        <a:xfrm>
          <a:off x="21831300" y="0"/>
          <a:ext cx="29527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AIN, AOUT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 = 2 AOUT, 8 AIN universal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4 = 4 AOUT, 6 AIN universal, 2 AIN 0-10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В/4…20мА </a:t>
          </a:r>
        </a:p>
      </xdr:txBody>
    </xdr:sp>
    <xdr:clientData/>
  </xdr:twoCellAnchor>
  <xdr:twoCellAnchor>
    <xdr:from>
      <xdr:col>35</xdr:col>
      <xdr:colOff>175260</xdr:colOff>
      <xdr:row>0</xdr:row>
      <xdr:rowOff>0</xdr:rowOff>
    </xdr:from>
    <xdr:to>
      <xdr:col>35</xdr:col>
      <xdr:colOff>495300</xdr:colOff>
      <xdr:row>0</xdr:row>
      <xdr:rowOff>0</xdr:rowOff>
    </xdr:to>
    <xdr:cxnSp macro="">
      <xdr:nvCxnSpPr>
        <xdr:cNvPr id="67587" name="AutoShape 10"/>
        <xdr:cNvCxnSpPr>
          <a:cxnSpLocks noChangeShapeType="1"/>
          <a:endCxn id="9225" idx="1"/>
        </xdr:cNvCxnSpPr>
      </xdr:nvCxnSpPr>
      <xdr:spPr bwMode="auto">
        <a:xfrm rot="16200000" flipH="1">
          <a:off x="22204680" y="-160020"/>
          <a:ext cx="0" cy="320040"/>
        </a:xfrm>
        <a:prstGeom prst="bentConnector2">
          <a:avLst/>
        </a:prstGeom>
        <a:noFill/>
        <a:ln w="9525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36</xdr:col>
      <xdr:colOff>121920</xdr:colOff>
      <xdr:row>0</xdr:row>
      <xdr:rowOff>0</xdr:rowOff>
    </xdr:from>
    <xdr:to>
      <xdr:col>37</xdr:col>
      <xdr:colOff>289560</xdr:colOff>
      <xdr:row>0</xdr:row>
      <xdr:rowOff>0</xdr:rowOff>
    </xdr:to>
    <xdr:cxnSp macro="">
      <xdr:nvCxnSpPr>
        <xdr:cNvPr id="67588" name="AutoShape 11"/>
        <xdr:cNvCxnSpPr>
          <a:cxnSpLocks noChangeShapeType="1"/>
          <a:endCxn id="9221" idx="1"/>
        </xdr:cNvCxnSpPr>
      </xdr:nvCxnSpPr>
      <xdr:spPr bwMode="auto">
        <a:xfrm>
          <a:off x="22616160" y="0"/>
          <a:ext cx="792480" cy="0"/>
        </a:xfrm>
        <a:prstGeom prst="bentConnector3">
          <a:avLst>
            <a:gd name="adj1" fmla="val -1236"/>
          </a:avLst>
        </a:prstGeom>
        <a:noFill/>
        <a:ln w="9525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487680</xdr:colOff>
      <xdr:row>9</xdr:row>
      <xdr:rowOff>68580</xdr:rowOff>
    </xdr:to>
    <xdr:pic>
      <xdr:nvPicPr>
        <xdr:cNvPr id="6758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61560" cy="1577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198120</xdr:colOff>
      <xdr:row>12</xdr:row>
      <xdr:rowOff>106680</xdr:rowOff>
    </xdr:to>
    <xdr:pic>
      <xdr:nvPicPr>
        <xdr:cNvPr id="72705" name="Picture 23" descr="Et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6000"/>
        </a:blip>
        <a:srcRect/>
        <a:stretch>
          <a:fillRect/>
        </a:stretch>
      </xdr:blipFill>
      <xdr:spPr bwMode="auto">
        <a:xfrm>
          <a:off x="0" y="0"/>
          <a:ext cx="2697480" cy="2118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99060</xdr:colOff>
      <xdr:row>0</xdr:row>
      <xdr:rowOff>0</xdr:rowOff>
    </xdr:from>
    <xdr:to>
      <xdr:col>7</xdr:col>
      <xdr:colOff>579120</xdr:colOff>
      <xdr:row>12</xdr:row>
      <xdr:rowOff>106680</xdr:rowOff>
    </xdr:to>
    <xdr:pic>
      <xdr:nvPicPr>
        <xdr:cNvPr id="72706" name="Picture 24" descr="LO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8420" y="0"/>
          <a:ext cx="2354580" cy="2118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printerSettings" Target="../printerSettings/printerSettings49.bin"/><Relationship Id="rId7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7" Type="http://schemas.openxmlformats.org/officeDocument/2006/relationships/drawing" Target="../drawings/drawing4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7" Type="http://schemas.openxmlformats.org/officeDocument/2006/relationships/drawing" Target="../drawings/drawing5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7" Type="http://schemas.openxmlformats.org/officeDocument/2006/relationships/drawing" Target="../drawings/drawing6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7" Type="http://schemas.openxmlformats.org/officeDocument/2006/relationships/drawing" Target="../drawings/drawing7.x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printerSettings" Target="../printerSettings/printerSettings40.bin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7" Type="http://schemas.openxmlformats.org/officeDocument/2006/relationships/drawing" Target="../drawings/drawing8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5"/>
  <dimension ref="A1:AE120"/>
  <sheetViews>
    <sheetView topLeftCell="D1833" zoomScaleNormal="100" workbookViewId="0">
      <selection activeCell="L80" sqref="L80"/>
    </sheetView>
  </sheetViews>
  <sheetFormatPr defaultColWidth="9.109375" defaultRowHeight="14.4"/>
  <cols>
    <col min="1" max="1" width="9.109375" style="111"/>
    <col min="2" max="2" width="26.109375" style="111" customWidth="1"/>
    <col min="3" max="8" width="9.109375" style="111"/>
    <col min="9" max="9" width="9.6640625" style="111" bestFit="1" customWidth="1"/>
    <col min="10" max="10" width="41.6640625" style="111" customWidth="1"/>
    <col min="11" max="11" width="25" style="111" customWidth="1"/>
    <col min="12" max="12" width="9.109375" style="111"/>
    <col min="13" max="13" width="16.33203125" style="111" customWidth="1"/>
    <col min="14" max="14" width="19" style="111" customWidth="1"/>
    <col min="15" max="16" width="9.109375" style="111"/>
    <col min="17" max="17" width="16.33203125" style="111" customWidth="1"/>
    <col min="18" max="20" width="9.109375" style="111"/>
    <col min="21" max="21" width="17" style="111" customWidth="1"/>
    <col min="22" max="16384" width="9.109375" style="111"/>
  </cols>
  <sheetData>
    <row r="1" spans="2:31">
      <c r="B1" s="142" t="s">
        <v>264</v>
      </c>
      <c r="C1" s="142"/>
      <c r="D1" s="142"/>
      <c r="E1" s="142"/>
      <c r="F1" s="142"/>
      <c r="G1" s="142"/>
      <c r="H1" s="142"/>
      <c r="I1" s="142"/>
    </row>
    <row r="2" spans="2:31">
      <c r="B2" s="142"/>
      <c r="C2" s="142"/>
      <c r="D2" s="142"/>
      <c r="E2" s="142"/>
      <c r="F2" s="142"/>
      <c r="G2" s="142"/>
      <c r="H2" s="142"/>
      <c r="I2" s="142"/>
    </row>
    <row r="3" spans="2:31">
      <c r="B3" s="142" t="s">
        <v>265</v>
      </c>
      <c r="C3" s="112" t="s">
        <v>224</v>
      </c>
      <c r="D3" s="112" t="s">
        <v>266</v>
      </c>
      <c r="E3" s="112" t="s">
        <v>267</v>
      </c>
      <c r="F3" s="113" t="s">
        <v>268</v>
      </c>
      <c r="G3" s="112" t="s">
        <v>269</v>
      </c>
      <c r="H3" s="112" t="s">
        <v>270</v>
      </c>
      <c r="I3" s="143">
        <f>_расчет!A45</f>
        <v>0</v>
      </c>
    </row>
    <row r="4" spans="2:31">
      <c r="B4" s="142"/>
      <c r="C4" s="112" t="e">
        <f>#REF!</f>
        <v>#REF!</v>
      </c>
      <c r="D4" s="112" t="e">
        <f>#REF!</f>
        <v>#REF!</v>
      </c>
      <c r="E4" s="112" t="e">
        <f>#REF!</f>
        <v>#REF!</v>
      </c>
      <c r="F4" s="112" t="e">
        <f>#REF!</f>
        <v>#REF!</v>
      </c>
      <c r="G4" s="112" t="e">
        <f>#REF!</f>
        <v>#REF!</v>
      </c>
      <c r="H4" s="112" t="e">
        <f>#REF!</f>
        <v>#REF!</v>
      </c>
      <c r="I4" s="143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2:31">
      <c r="K5" s="115" t="s">
        <v>271</v>
      </c>
      <c r="L5" s="115"/>
      <c r="M5" s="115"/>
      <c r="N5" s="115"/>
      <c r="O5" s="115"/>
      <c r="P5" s="115"/>
      <c r="Q5" s="115"/>
      <c r="R5" s="115"/>
      <c r="S5" s="115"/>
      <c r="T5" s="114"/>
      <c r="U5" s="116"/>
      <c r="V5" s="117"/>
      <c r="W5" s="117"/>
      <c r="X5" s="117"/>
      <c r="Y5" s="117"/>
      <c r="Z5" s="117"/>
      <c r="AA5" s="117"/>
      <c r="AB5" s="117"/>
      <c r="AC5" s="117"/>
      <c r="AD5" s="117"/>
      <c r="AE5" s="117"/>
    </row>
    <row r="6" spans="2:31">
      <c r="B6" s="111" t="s">
        <v>1</v>
      </c>
      <c r="C6" s="112" t="s">
        <v>224</v>
      </c>
      <c r="D6" s="112" t="s">
        <v>266</v>
      </c>
      <c r="E6" s="112" t="s">
        <v>267</v>
      </c>
      <c r="F6" s="113" t="s">
        <v>268</v>
      </c>
      <c r="G6" s="112" t="s">
        <v>269</v>
      </c>
      <c r="H6" s="112" t="s">
        <v>270</v>
      </c>
      <c r="I6" s="112" t="s">
        <v>272</v>
      </c>
      <c r="K6" s="114" t="s">
        <v>1</v>
      </c>
      <c r="L6" s="118" t="s">
        <v>273</v>
      </c>
      <c r="M6" s="118" t="s">
        <v>224</v>
      </c>
      <c r="N6" s="118" t="s">
        <v>266</v>
      </c>
      <c r="O6" s="118" t="s">
        <v>267</v>
      </c>
      <c r="P6" s="119" t="s">
        <v>268</v>
      </c>
      <c r="Q6" s="118" t="s">
        <v>269</v>
      </c>
      <c r="R6" s="118" t="s">
        <v>270</v>
      </c>
      <c r="S6" s="118" t="s">
        <v>272</v>
      </c>
      <c r="T6" s="114"/>
      <c r="U6" s="120"/>
      <c r="V6" s="113"/>
      <c r="W6" s="113"/>
      <c r="X6" s="113"/>
      <c r="Y6" s="113"/>
      <c r="Z6" s="113"/>
      <c r="AA6" s="113"/>
      <c r="AB6" s="113"/>
      <c r="AC6" s="113"/>
      <c r="AD6" s="113"/>
      <c r="AE6" s="113"/>
    </row>
    <row r="7" spans="2:31">
      <c r="B7" s="121" t="s">
        <v>275</v>
      </c>
      <c r="C7" s="122">
        <f>O63*0</f>
        <v>0</v>
      </c>
      <c r="D7" s="111">
        <f>O63*0</f>
        <v>0</v>
      </c>
      <c r="E7" s="111">
        <f>O63*0</f>
        <v>0</v>
      </c>
      <c r="F7" s="111">
        <f>O63*0</f>
        <v>0</v>
      </c>
      <c r="G7" s="111">
        <f>O63*0</f>
        <v>0</v>
      </c>
      <c r="H7" s="111">
        <f>O63*0</f>
        <v>0</v>
      </c>
      <c r="I7" s="111">
        <v>0</v>
      </c>
      <c r="K7" s="120" t="str">
        <f t="shared" ref="K7:K23" si="0">B7</f>
        <v>Без контроллера</v>
      </c>
      <c r="L7" s="123">
        <v>0</v>
      </c>
      <c r="M7" s="114">
        <f t="shared" ref="M7:M23" si="1">L7*C7</f>
        <v>0</v>
      </c>
      <c r="N7" s="114">
        <f t="shared" ref="N7:N23" si="2">L7*D7</f>
        <v>0</v>
      </c>
      <c r="O7" s="114">
        <f t="shared" ref="O7:O23" si="3">L7*E7</f>
        <v>0</v>
      </c>
      <c r="P7" s="114">
        <f t="shared" ref="P7:P23" si="4">L7*F7</f>
        <v>0</v>
      </c>
      <c r="Q7" s="114">
        <f t="shared" ref="Q7:Q23" si="5">L7*G7</f>
        <v>0</v>
      </c>
      <c r="R7" s="114">
        <f t="shared" ref="R7:R23" si="6">L7*H7</f>
        <v>0</v>
      </c>
      <c r="S7" s="114">
        <f t="shared" ref="S7:S23" si="7">L7*I7</f>
        <v>0</v>
      </c>
      <c r="T7" s="114"/>
      <c r="U7" s="124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2:31">
      <c r="B8" s="122" t="s">
        <v>309</v>
      </c>
      <c r="C8" s="122">
        <f>N81*O63*5</f>
        <v>0</v>
      </c>
      <c r="D8" s="111">
        <f>N81*O63*IF(_расчет!O32=1,3,0)</f>
        <v>0</v>
      </c>
      <c r="E8" s="111">
        <f>N81*O63*IF(_расчет!O32=1,0,0)</f>
        <v>0</v>
      </c>
      <c r="F8" s="111">
        <f>N81*O63*IF(_расчет!O32=1,0,3)</f>
        <v>0</v>
      </c>
      <c r="G8" s="111">
        <f>N81*O63*0</f>
        <v>0</v>
      </c>
      <c r="H8" s="111">
        <f>N81*O63*0</f>
        <v>0</v>
      </c>
      <c r="I8" s="111" t="e">
        <f>#REF!</f>
        <v>#REF!</v>
      </c>
      <c r="K8" s="120" t="str">
        <f t="shared" si="0"/>
        <v>SMH5 - 1002 - 00</v>
      </c>
      <c r="L8" s="123">
        <v>0</v>
      </c>
      <c r="M8" s="114">
        <f t="shared" si="1"/>
        <v>0</v>
      </c>
      <c r="N8" s="114">
        <f t="shared" si="2"/>
        <v>0</v>
      </c>
      <c r="O8" s="114">
        <f t="shared" si="3"/>
        <v>0</v>
      </c>
      <c r="P8" s="114">
        <f t="shared" si="4"/>
        <v>0</v>
      </c>
      <c r="Q8" s="114">
        <f t="shared" si="5"/>
        <v>0</v>
      </c>
      <c r="R8" s="114">
        <f t="shared" si="6"/>
        <v>0</v>
      </c>
      <c r="S8" s="114" t="e">
        <f t="shared" si="7"/>
        <v>#REF!</v>
      </c>
      <c r="T8" s="114"/>
      <c r="U8" s="124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2:31">
      <c r="B9" s="122" t="s">
        <v>295</v>
      </c>
      <c r="C9" s="122">
        <f>N82*O63*8</f>
        <v>0</v>
      </c>
      <c r="D9" s="111">
        <f>N82*O63*IF(_расчет!O57=1,8,6)</f>
        <v>0</v>
      </c>
      <c r="E9" s="111">
        <f>N82*O63*IF(_расчет!O57=1,0,0)</f>
        <v>0</v>
      </c>
      <c r="F9" s="111">
        <f>N82*O63*IF(_расчет!O57=1,0,2)</f>
        <v>0</v>
      </c>
      <c r="G9" s="111">
        <f>N82*O63*8</f>
        <v>0</v>
      </c>
      <c r="H9" s="111">
        <f>N82*O63*2</f>
        <v>0</v>
      </c>
      <c r="I9" s="126">
        <v>384.55</v>
      </c>
      <c r="K9" s="120" t="str">
        <f t="shared" si="0"/>
        <v>Matrix - 1020 - xx</v>
      </c>
      <c r="L9" s="123">
        <v>0</v>
      </c>
      <c r="M9" s="114">
        <f t="shared" si="1"/>
        <v>0</v>
      </c>
      <c r="N9" s="114">
        <f t="shared" si="2"/>
        <v>0</v>
      </c>
      <c r="O9" s="114">
        <f t="shared" si="3"/>
        <v>0</v>
      </c>
      <c r="P9" s="114">
        <f t="shared" si="4"/>
        <v>0</v>
      </c>
      <c r="Q9" s="114">
        <f t="shared" si="5"/>
        <v>0</v>
      </c>
      <c r="R9" s="114">
        <f t="shared" si="6"/>
        <v>0</v>
      </c>
      <c r="S9" s="114">
        <f t="shared" si="7"/>
        <v>0</v>
      </c>
      <c r="T9" s="114"/>
      <c r="U9" s="124"/>
      <c r="V9" s="125"/>
      <c r="W9" s="125"/>
      <c r="X9" s="125"/>
      <c r="Y9" s="125"/>
      <c r="Z9" s="125"/>
      <c r="AA9" s="125"/>
      <c r="AB9" s="125"/>
      <c r="AC9" s="125"/>
      <c r="AD9" s="125"/>
      <c r="AE9" s="125"/>
    </row>
    <row r="10" spans="2:31">
      <c r="B10" s="111" t="s">
        <v>296</v>
      </c>
      <c r="C10" s="127">
        <f>N82*O63*8</f>
        <v>0</v>
      </c>
      <c r="D10" s="111">
        <f>N82*O63*IF(_расчет!O57=1,6,5)</f>
        <v>0</v>
      </c>
      <c r="E10" s="127">
        <f>N82*O63*IF(_расчет!O57=1,0,0)</f>
        <v>0</v>
      </c>
      <c r="F10" s="127">
        <f>N82*O63*IF(_расчет!O57=1,0,1)</f>
        <v>0</v>
      </c>
      <c r="G10" s="127">
        <f>N82*O63*8</f>
        <v>0</v>
      </c>
      <c r="H10" s="127">
        <f>N82*O63*4</f>
        <v>0</v>
      </c>
      <c r="I10" s="128">
        <v>381.78</v>
      </c>
      <c r="K10" s="120" t="str">
        <f t="shared" si="0"/>
        <v>Matrix - 1021 - xx</v>
      </c>
      <c r="L10" s="123">
        <v>0</v>
      </c>
      <c r="M10" s="114">
        <f t="shared" si="1"/>
        <v>0</v>
      </c>
      <c r="N10" s="114">
        <f t="shared" si="2"/>
        <v>0</v>
      </c>
      <c r="O10" s="114">
        <f t="shared" si="3"/>
        <v>0</v>
      </c>
      <c r="P10" s="114">
        <f t="shared" si="4"/>
        <v>0</v>
      </c>
      <c r="Q10" s="114">
        <f t="shared" si="5"/>
        <v>0</v>
      </c>
      <c r="R10" s="114">
        <f t="shared" si="6"/>
        <v>0</v>
      </c>
      <c r="S10" s="114">
        <f t="shared" si="7"/>
        <v>0</v>
      </c>
      <c r="T10" s="114"/>
      <c r="U10" s="124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</row>
    <row r="11" spans="2:31">
      <c r="B11" s="111" t="s">
        <v>297</v>
      </c>
      <c r="C11" s="122">
        <f>N82*O63*16</f>
        <v>0</v>
      </c>
      <c r="D11" s="111">
        <f>N82*O63*IF(_расчет!O32=1,4,4)</f>
        <v>0</v>
      </c>
      <c r="E11" s="111">
        <f>N82*O63*IF(_расчет!O32=1,0,0)</f>
        <v>0</v>
      </c>
      <c r="F11" s="111">
        <f>N82*O63*IF(_расчет!O32=1,0,0)</f>
        <v>0</v>
      </c>
      <c r="G11" s="111">
        <f>N82*O63*8</f>
        <v>0</v>
      </c>
      <c r="H11" s="111">
        <f>N82*O63*0</f>
        <v>0</v>
      </c>
      <c r="I11" s="111">
        <v>373.98</v>
      </c>
      <c r="K11" s="120" t="str">
        <f t="shared" si="0"/>
        <v>Matrix - 1022-  xx</v>
      </c>
      <c r="L11" s="123">
        <v>0</v>
      </c>
      <c r="M11" s="114">
        <f t="shared" si="1"/>
        <v>0</v>
      </c>
      <c r="N11" s="114">
        <f t="shared" si="2"/>
        <v>0</v>
      </c>
      <c r="O11" s="114">
        <f t="shared" si="3"/>
        <v>0</v>
      </c>
      <c r="P11" s="114">
        <f t="shared" si="4"/>
        <v>0</v>
      </c>
      <c r="Q11" s="114">
        <f t="shared" si="5"/>
        <v>0</v>
      </c>
      <c r="R11" s="114">
        <f t="shared" si="6"/>
        <v>0</v>
      </c>
      <c r="S11" s="114">
        <f t="shared" si="7"/>
        <v>0</v>
      </c>
      <c r="T11" s="114"/>
      <c r="U11" s="124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</row>
    <row r="12" spans="2:31">
      <c r="B12" s="111" t="s">
        <v>298</v>
      </c>
      <c r="C12" s="122">
        <f>N82*O63*8</f>
        <v>0</v>
      </c>
      <c r="D12" s="111">
        <f>N82*O63*IF(_расчет!O51=1,10,6)</f>
        <v>0</v>
      </c>
      <c r="E12" s="111">
        <f>N82*O63*IF(_расчет!O51=1,0,2)</f>
        <v>0</v>
      </c>
      <c r="F12" s="111">
        <f>N82*O63*IF(_расчет!O51=1,0,2)</f>
        <v>0</v>
      </c>
      <c r="G12" s="111">
        <f>N82*O63*6</f>
        <v>0</v>
      </c>
      <c r="H12" s="111">
        <f>N82*O63*2</f>
        <v>0</v>
      </c>
      <c r="I12" s="111">
        <v>388.23</v>
      </c>
      <c r="K12" s="120" t="str">
        <f t="shared" si="0"/>
        <v>Matrix - 1320 - xx</v>
      </c>
      <c r="L12" s="123">
        <v>0</v>
      </c>
      <c r="M12" s="114">
        <f t="shared" si="1"/>
        <v>0</v>
      </c>
      <c r="N12" s="114">
        <f t="shared" si="2"/>
        <v>0</v>
      </c>
      <c r="O12" s="114">
        <f t="shared" si="3"/>
        <v>0</v>
      </c>
      <c r="P12" s="114">
        <f t="shared" si="4"/>
        <v>0</v>
      </c>
      <c r="Q12" s="114">
        <f t="shared" si="5"/>
        <v>0</v>
      </c>
      <c r="R12" s="114">
        <f t="shared" si="6"/>
        <v>0</v>
      </c>
      <c r="S12" s="114">
        <f t="shared" si="7"/>
        <v>0</v>
      </c>
      <c r="T12" s="114"/>
      <c r="U12" s="124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</row>
    <row r="13" spans="2:31">
      <c r="B13" s="111" t="s">
        <v>299</v>
      </c>
      <c r="C13" s="122">
        <f>N82*O63*8</f>
        <v>0</v>
      </c>
      <c r="D13" s="111">
        <f>N82*O63*IF(_расчет!O51=1,8,5)</f>
        <v>0</v>
      </c>
      <c r="E13" s="111">
        <f>N82*O63*IF(_расчет!O51=1,0,2)</f>
        <v>0</v>
      </c>
      <c r="F13" s="111">
        <f>N82*O63*IF(_расчет!O51=1,0,1)</f>
        <v>0</v>
      </c>
      <c r="G13" s="111">
        <f>N82*O63*6</f>
        <v>0</v>
      </c>
      <c r="H13" s="111">
        <f>N82*O63*4</f>
        <v>0</v>
      </c>
      <c r="I13" s="111">
        <v>385.46</v>
      </c>
      <c r="K13" s="120" t="str">
        <f t="shared" si="0"/>
        <v>Matrix - 1321 - xx</v>
      </c>
      <c r="L13" s="123">
        <v>0</v>
      </c>
      <c r="M13" s="114">
        <f t="shared" si="1"/>
        <v>0</v>
      </c>
      <c r="N13" s="114">
        <f t="shared" si="2"/>
        <v>0</v>
      </c>
      <c r="O13" s="114">
        <f t="shared" si="3"/>
        <v>0</v>
      </c>
      <c r="P13" s="114">
        <f t="shared" si="4"/>
        <v>0</v>
      </c>
      <c r="Q13" s="114">
        <f t="shared" si="5"/>
        <v>0</v>
      </c>
      <c r="R13" s="114">
        <f t="shared" si="6"/>
        <v>0</v>
      </c>
      <c r="S13" s="114">
        <f t="shared" si="7"/>
        <v>0</v>
      </c>
      <c r="T13" s="114"/>
      <c r="U13" s="124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</row>
    <row r="14" spans="2:31">
      <c r="B14" s="111" t="s">
        <v>300</v>
      </c>
      <c r="C14" s="127">
        <f>N82*O63*32</f>
        <v>0</v>
      </c>
      <c r="D14" s="111">
        <f>N82*O63*IF(_расчет!O48=1,0,0)</f>
        <v>0</v>
      </c>
      <c r="E14" s="127">
        <f>N82*O63*IF(_расчет!O48=1,0,0)</f>
        <v>0</v>
      </c>
      <c r="F14" s="127">
        <f>N82*O63*IF(_расчет!O48=1,0,0)</f>
        <v>0</v>
      </c>
      <c r="G14" s="127">
        <f>N82*O63*0</f>
        <v>0</v>
      </c>
      <c r="H14" s="127">
        <f>N82*O63*0</f>
        <v>0</v>
      </c>
      <c r="I14" s="127">
        <v>363.55</v>
      </c>
      <c r="K14" s="120" t="str">
        <f t="shared" si="0"/>
        <v>Matrix - 2222 - xx</v>
      </c>
      <c r="L14" s="123">
        <v>0</v>
      </c>
      <c r="M14" s="114">
        <f t="shared" si="1"/>
        <v>0</v>
      </c>
      <c r="N14" s="114">
        <f t="shared" si="2"/>
        <v>0</v>
      </c>
      <c r="O14" s="114">
        <f t="shared" si="3"/>
        <v>0</v>
      </c>
      <c r="P14" s="114">
        <f t="shared" si="4"/>
        <v>0</v>
      </c>
      <c r="Q14" s="114">
        <f t="shared" si="5"/>
        <v>0</v>
      </c>
      <c r="R14" s="114">
        <f t="shared" si="6"/>
        <v>0</v>
      </c>
      <c r="S14" s="114">
        <f t="shared" si="7"/>
        <v>0</v>
      </c>
      <c r="T14" s="114"/>
      <c r="U14" s="124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</row>
    <row r="15" spans="2:31">
      <c r="B15" s="111" t="s">
        <v>301</v>
      </c>
      <c r="C15" s="127">
        <f>N82*O63*16</f>
        <v>0</v>
      </c>
      <c r="D15" s="111">
        <f>N82*O63*12</f>
        <v>0</v>
      </c>
      <c r="E15" s="127">
        <f>N82*O63*0</f>
        <v>0</v>
      </c>
      <c r="F15" s="127">
        <f>N82*O63*0</f>
        <v>0</v>
      </c>
      <c r="G15" s="127">
        <f>N82*O63*0</f>
        <v>0</v>
      </c>
      <c r="H15" s="127">
        <f>N82*O63*0</f>
        <v>0</v>
      </c>
      <c r="I15" s="127">
        <v>375.9</v>
      </c>
      <c r="K15" s="120" t="str">
        <f t="shared" si="0"/>
        <v>Matrix - 2230 - xx</v>
      </c>
      <c r="L15" s="123">
        <v>0</v>
      </c>
      <c r="M15" s="114">
        <f t="shared" si="1"/>
        <v>0</v>
      </c>
      <c r="N15" s="114">
        <f t="shared" si="2"/>
        <v>0</v>
      </c>
      <c r="O15" s="114">
        <f t="shared" si="3"/>
        <v>0</v>
      </c>
      <c r="P15" s="114">
        <f t="shared" si="4"/>
        <v>0</v>
      </c>
      <c r="Q15" s="114">
        <f t="shared" si="5"/>
        <v>0</v>
      </c>
      <c r="R15" s="114">
        <f t="shared" si="6"/>
        <v>0</v>
      </c>
      <c r="S15" s="114">
        <f t="shared" si="7"/>
        <v>0</v>
      </c>
      <c r="T15" s="114"/>
      <c r="U15" s="124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</row>
    <row r="16" spans="2:31">
      <c r="B16" s="111" t="s">
        <v>302</v>
      </c>
      <c r="C16" s="127">
        <f>N82*O63*0</f>
        <v>0</v>
      </c>
      <c r="D16" s="111">
        <f>N82*O63*24</f>
        <v>0</v>
      </c>
      <c r="E16" s="127">
        <f>N82*O63*0</f>
        <v>0</v>
      </c>
      <c r="F16" s="127">
        <f>N82*O63*0</f>
        <v>0</v>
      </c>
      <c r="G16" s="127">
        <f>N82*O63*0</f>
        <v>0</v>
      </c>
      <c r="H16" s="127">
        <f>N82*O63*0</f>
        <v>0</v>
      </c>
      <c r="I16" s="127">
        <v>388.25</v>
      </c>
      <c r="K16" s="120" t="str">
        <f t="shared" si="0"/>
        <v>Matrix - 3030 - xx</v>
      </c>
      <c r="L16" s="123">
        <v>0</v>
      </c>
      <c r="M16" s="114">
        <f t="shared" si="1"/>
        <v>0</v>
      </c>
      <c r="N16" s="114">
        <f t="shared" si="2"/>
        <v>0</v>
      </c>
      <c r="O16" s="114">
        <f t="shared" si="3"/>
        <v>0</v>
      </c>
      <c r="P16" s="114">
        <f t="shared" si="4"/>
        <v>0</v>
      </c>
      <c r="Q16" s="114">
        <f t="shared" si="5"/>
        <v>0</v>
      </c>
      <c r="R16" s="114">
        <f t="shared" si="6"/>
        <v>0</v>
      </c>
      <c r="S16" s="114">
        <f t="shared" si="7"/>
        <v>0</v>
      </c>
      <c r="T16" s="114"/>
      <c r="U16" s="124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</row>
    <row r="17" spans="1:31">
      <c r="A17" s="129"/>
      <c r="B17" s="130" t="s">
        <v>303</v>
      </c>
      <c r="C17" s="130">
        <f>N83*O63*8</f>
        <v>0</v>
      </c>
      <c r="D17" s="129">
        <f>N83*O63*IF(_расчет!O75=1,8,6)</f>
        <v>0</v>
      </c>
      <c r="E17" s="129">
        <f>N83*O63*IF(_расчет!O75=1,0,0)</f>
        <v>0</v>
      </c>
      <c r="F17" s="129">
        <f>N83*O63*IF(_расчет!O75=1,0,2)</f>
        <v>0</v>
      </c>
      <c r="G17" s="129">
        <f>N83*O63*8</f>
        <v>0</v>
      </c>
      <c r="H17" s="129">
        <f>N83*O63*2</f>
        <v>0</v>
      </c>
      <c r="I17" s="131" t="e">
        <f>#REF!</f>
        <v>#REF!</v>
      </c>
      <c r="J17" s="129"/>
      <c r="K17" s="120" t="str">
        <f t="shared" si="0"/>
        <v>Pixel2 - 1020 - xx</v>
      </c>
      <c r="L17" s="123">
        <v>0</v>
      </c>
      <c r="M17" s="114">
        <f t="shared" si="1"/>
        <v>0</v>
      </c>
      <c r="N17" s="114">
        <f t="shared" si="2"/>
        <v>0</v>
      </c>
      <c r="O17" s="114">
        <f t="shared" si="3"/>
        <v>0</v>
      </c>
      <c r="P17" s="114">
        <f t="shared" si="4"/>
        <v>0</v>
      </c>
      <c r="Q17" s="114">
        <f t="shared" si="5"/>
        <v>0</v>
      </c>
      <c r="R17" s="114">
        <f t="shared" si="6"/>
        <v>0</v>
      </c>
      <c r="S17" s="114" t="e">
        <f t="shared" si="7"/>
        <v>#REF!</v>
      </c>
      <c r="T17" s="114"/>
      <c r="U17" s="124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</row>
    <row r="18" spans="1:31">
      <c r="B18" s="111" t="s">
        <v>304</v>
      </c>
      <c r="C18" s="127">
        <f>N83*O63*8</f>
        <v>0</v>
      </c>
      <c r="D18" s="111">
        <f>N83*O63*IF(_расчет!O75=1,6,5)</f>
        <v>0</v>
      </c>
      <c r="E18" s="127">
        <f>N83*O63*IF(_расчет!O75=1,0,0)</f>
        <v>0</v>
      </c>
      <c r="F18" s="127">
        <f>N83*O63*IF(_расчет!O75=1,0,1)</f>
        <v>0</v>
      </c>
      <c r="G18" s="127">
        <f>N83*O63*8</f>
        <v>0</v>
      </c>
      <c r="H18" s="127">
        <f>N83*O63*4</f>
        <v>0</v>
      </c>
      <c r="I18" s="126" t="e">
        <f>#REF!</f>
        <v>#REF!</v>
      </c>
      <c r="K18" s="120" t="str">
        <f t="shared" si="0"/>
        <v>Pixel2 - 1021 - xx</v>
      </c>
      <c r="L18" s="123">
        <v>0</v>
      </c>
      <c r="M18" s="114">
        <f t="shared" si="1"/>
        <v>0</v>
      </c>
      <c r="N18" s="114">
        <f t="shared" si="2"/>
        <v>0</v>
      </c>
      <c r="O18" s="114">
        <f t="shared" si="3"/>
        <v>0</v>
      </c>
      <c r="P18" s="114">
        <f t="shared" si="4"/>
        <v>0</v>
      </c>
      <c r="Q18" s="114">
        <f t="shared" si="5"/>
        <v>0</v>
      </c>
      <c r="R18" s="114">
        <f t="shared" si="6"/>
        <v>0</v>
      </c>
      <c r="S18" s="114" t="e">
        <f t="shared" si="7"/>
        <v>#REF!</v>
      </c>
      <c r="T18" s="114"/>
      <c r="U18" s="124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</row>
    <row r="19" spans="1:31">
      <c r="B19" s="111" t="s">
        <v>305</v>
      </c>
      <c r="C19" s="122">
        <f>N83*O63*8</f>
        <v>0</v>
      </c>
      <c r="D19" s="111">
        <f>N83*O63*IF(_расчет!O69=1,10,6)</f>
        <v>0</v>
      </c>
      <c r="E19" s="111">
        <f>N83*O63*IF(_расчет!O69=1,0,2)</f>
        <v>0</v>
      </c>
      <c r="F19" s="111">
        <f>N83*O63*IF(_расчет!O69=1,0,2)</f>
        <v>0</v>
      </c>
      <c r="G19" s="111">
        <f>N83*O63*6</f>
        <v>0</v>
      </c>
      <c r="H19" s="111">
        <f>N83*O63*2</f>
        <v>0</v>
      </c>
      <c r="I19" s="126" t="e">
        <f>#REF!</f>
        <v>#REF!</v>
      </c>
      <c r="K19" s="120" t="str">
        <f t="shared" si="0"/>
        <v>Pixel2 - 1320 - xx</v>
      </c>
      <c r="L19" s="123">
        <v>0</v>
      </c>
      <c r="M19" s="114">
        <f t="shared" si="1"/>
        <v>0</v>
      </c>
      <c r="N19" s="114">
        <f t="shared" si="2"/>
        <v>0</v>
      </c>
      <c r="O19" s="114">
        <f t="shared" si="3"/>
        <v>0</v>
      </c>
      <c r="P19" s="114">
        <f t="shared" si="4"/>
        <v>0</v>
      </c>
      <c r="Q19" s="114">
        <f t="shared" si="5"/>
        <v>0</v>
      </c>
      <c r="R19" s="114">
        <f t="shared" si="6"/>
        <v>0</v>
      </c>
      <c r="S19" s="114" t="e">
        <f t="shared" si="7"/>
        <v>#REF!</v>
      </c>
      <c r="T19" s="114"/>
      <c r="U19" s="124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</row>
    <row r="20" spans="1:31">
      <c r="B20" s="111" t="s">
        <v>306</v>
      </c>
      <c r="C20" s="122">
        <f>N83*O63*8</f>
        <v>0</v>
      </c>
      <c r="D20" s="111">
        <f>N83*O63*IF(_расчет!O69=1,8,5)</f>
        <v>0</v>
      </c>
      <c r="E20" s="111">
        <f>N83*O63*IF(_расчет!O69=1,0,2)</f>
        <v>0</v>
      </c>
      <c r="F20" s="111">
        <f>N83*O63*IF(_расчет!O69=1,0,1)</f>
        <v>0</v>
      </c>
      <c r="G20" s="111">
        <f>N83*O63*6</f>
        <v>0</v>
      </c>
      <c r="H20" s="111">
        <f>N83*O63*4</f>
        <v>0</v>
      </c>
      <c r="I20" s="126" t="e">
        <f>#REF!</f>
        <v>#REF!</v>
      </c>
      <c r="K20" s="120" t="str">
        <f t="shared" si="0"/>
        <v>Pixel2 - 1321 - xx</v>
      </c>
      <c r="L20" s="123">
        <v>0</v>
      </c>
      <c r="M20" s="114">
        <f t="shared" si="1"/>
        <v>0</v>
      </c>
      <c r="N20" s="114">
        <f t="shared" si="2"/>
        <v>0</v>
      </c>
      <c r="O20" s="114">
        <f t="shared" si="3"/>
        <v>0</v>
      </c>
      <c r="P20" s="114">
        <f t="shared" si="4"/>
        <v>0</v>
      </c>
      <c r="Q20" s="114">
        <f t="shared" si="5"/>
        <v>0</v>
      </c>
      <c r="R20" s="114">
        <f t="shared" si="6"/>
        <v>0</v>
      </c>
      <c r="S20" s="114" t="e">
        <f t="shared" si="7"/>
        <v>#REF!</v>
      </c>
      <c r="T20" s="114"/>
      <c r="U20" s="124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</row>
    <row r="21" spans="1:31">
      <c r="B21" s="111" t="s">
        <v>307</v>
      </c>
      <c r="C21" s="127">
        <f>N83*O63*16</f>
        <v>0</v>
      </c>
      <c r="D21" s="111">
        <f>N83*O63*IF(_расчет!O67=1,12,12)</f>
        <v>0</v>
      </c>
      <c r="E21" s="127">
        <f>N83*O63*IF(_расчет!O67=1,0,0)</f>
        <v>0</v>
      </c>
      <c r="F21" s="127">
        <f>N83*O63*IF(_расчет!O67=1,0,0)</f>
        <v>0</v>
      </c>
      <c r="G21" s="127">
        <f>N83*O63*0</f>
        <v>0</v>
      </c>
      <c r="H21" s="127">
        <f>N83*O63*0</f>
        <v>0</v>
      </c>
      <c r="I21" s="126" t="e">
        <f>#REF!</f>
        <v>#REF!</v>
      </c>
      <c r="K21" s="120" t="str">
        <f t="shared" si="0"/>
        <v>Pixel2 - 3022 - xx</v>
      </c>
      <c r="L21" s="123">
        <v>0</v>
      </c>
      <c r="M21" s="114">
        <f t="shared" si="1"/>
        <v>0</v>
      </c>
      <c r="N21" s="114">
        <f t="shared" si="2"/>
        <v>0</v>
      </c>
      <c r="O21" s="114">
        <f t="shared" si="3"/>
        <v>0</v>
      </c>
      <c r="P21" s="114">
        <f t="shared" si="4"/>
        <v>0</v>
      </c>
      <c r="Q21" s="114">
        <f t="shared" si="5"/>
        <v>0</v>
      </c>
      <c r="R21" s="114">
        <f t="shared" si="6"/>
        <v>0</v>
      </c>
      <c r="S21" s="114" t="e">
        <f t="shared" si="7"/>
        <v>#REF!</v>
      </c>
      <c r="T21" s="114"/>
      <c r="U21" s="124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</row>
    <row r="22" spans="1:31">
      <c r="B22" s="111" t="s">
        <v>308</v>
      </c>
      <c r="C22" s="127">
        <f>N83*O63*32</f>
        <v>0</v>
      </c>
      <c r="D22" s="111">
        <f>N83*O63*IF(_расчет!O63=1,0,0)</f>
        <v>0</v>
      </c>
      <c r="E22" s="127">
        <f>N83*O63*IF(_расчет!O63=1,0,0)</f>
        <v>0</v>
      </c>
      <c r="F22" s="127">
        <f>N83*O63*IF(_расчет!O63=1,0,0)</f>
        <v>0</v>
      </c>
      <c r="G22" s="127">
        <f>N83*O63*0</f>
        <v>0</v>
      </c>
      <c r="H22" s="127">
        <f>N83*O63*0</f>
        <v>0</v>
      </c>
      <c r="I22" s="126" t="e">
        <f>#REF!</f>
        <v>#REF!</v>
      </c>
      <c r="K22" s="120" t="str">
        <f t="shared" si="0"/>
        <v>Pixel2 - 2222 - xx</v>
      </c>
      <c r="L22" s="123">
        <v>0</v>
      </c>
      <c r="M22" s="114">
        <f t="shared" si="1"/>
        <v>0</v>
      </c>
      <c r="N22" s="114">
        <f t="shared" si="2"/>
        <v>0</v>
      </c>
      <c r="O22" s="114">
        <f t="shared" si="3"/>
        <v>0</v>
      </c>
      <c r="P22" s="114">
        <f t="shared" si="4"/>
        <v>0</v>
      </c>
      <c r="Q22" s="114">
        <f t="shared" si="5"/>
        <v>0</v>
      </c>
      <c r="R22" s="114">
        <f t="shared" si="6"/>
        <v>0</v>
      </c>
      <c r="S22" s="114" t="e">
        <f t="shared" si="7"/>
        <v>#REF!</v>
      </c>
      <c r="T22" s="114"/>
      <c r="U22" s="124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</row>
    <row r="23" spans="1:31">
      <c r="B23" s="132" t="s">
        <v>310</v>
      </c>
      <c r="C23" s="127">
        <f>N84*O63*3</f>
        <v>0</v>
      </c>
      <c r="D23" s="111">
        <f>N84*O63*0</f>
        <v>0</v>
      </c>
      <c r="E23" s="111">
        <f>N84*O63*0</f>
        <v>0</v>
      </c>
      <c r="F23" s="111">
        <f>N84*O63*0</f>
        <v>0</v>
      </c>
      <c r="G23" s="127">
        <f>N84*O63*0</f>
        <v>0</v>
      </c>
      <c r="H23" s="127">
        <f>N84*O63*0</f>
        <v>0</v>
      </c>
      <c r="I23" s="127" t="e">
        <f>#REF!</f>
        <v>#REF!</v>
      </c>
      <c r="K23" s="120" t="str">
        <f t="shared" si="0"/>
        <v>SMH4 - 1011 - 00</v>
      </c>
      <c r="L23" s="123">
        <v>0</v>
      </c>
      <c r="M23" s="114">
        <f t="shared" si="1"/>
        <v>0</v>
      </c>
      <c r="N23" s="114">
        <f t="shared" si="2"/>
        <v>0</v>
      </c>
      <c r="O23" s="114">
        <f t="shared" si="3"/>
        <v>0</v>
      </c>
      <c r="P23" s="114">
        <f t="shared" si="4"/>
        <v>0</v>
      </c>
      <c r="Q23" s="114">
        <f t="shared" si="5"/>
        <v>0</v>
      </c>
      <c r="R23" s="114">
        <f t="shared" si="6"/>
        <v>0</v>
      </c>
      <c r="S23" s="114" t="e">
        <f t="shared" si="7"/>
        <v>#REF!</v>
      </c>
      <c r="T23" s="114"/>
      <c r="U23" s="124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</row>
    <row r="24" spans="1:31">
      <c r="A24" s="129"/>
      <c r="B24" s="133" t="s">
        <v>286</v>
      </c>
      <c r="C24" s="134">
        <v>8</v>
      </c>
      <c r="D24" s="134">
        <f>IF(O72=1,8,6)</f>
        <v>6</v>
      </c>
      <c r="E24" s="134">
        <v>0</v>
      </c>
      <c r="F24" s="134">
        <f>IF(O72=1,0,2)</f>
        <v>2</v>
      </c>
      <c r="G24" s="134">
        <v>8</v>
      </c>
      <c r="H24" s="134">
        <v>2</v>
      </c>
      <c r="I24" s="134" t="e">
        <f>#REF!</f>
        <v>#REF!</v>
      </c>
      <c r="J24" s="129"/>
      <c r="K24" s="120" t="str">
        <f t="shared" ref="K24:K39" si="8">B24</f>
        <v>FMR - 1020 - 10 - 4</v>
      </c>
      <c r="L24" s="123">
        <v>0</v>
      </c>
      <c r="M24" s="114">
        <f t="shared" ref="M24:M39" si="9">L24*C24</f>
        <v>0</v>
      </c>
      <c r="N24" s="114">
        <f t="shared" ref="N24:N39" si="10">L24*D24</f>
        <v>0</v>
      </c>
      <c r="O24" s="114">
        <f t="shared" ref="O24:O39" si="11">L24*E24</f>
        <v>0</v>
      </c>
      <c r="P24" s="114">
        <f t="shared" ref="P24:P39" si="12">L24*F24</f>
        <v>0</v>
      </c>
      <c r="Q24" s="114">
        <f t="shared" ref="Q24:Q39" si="13">L24*G24</f>
        <v>0</v>
      </c>
      <c r="R24" s="114">
        <f t="shared" ref="R24:R39" si="14">L24*H24</f>
        <v>0</v>
      </c>
      <c r="S24" s="114" t="e">
        <f t="shared" ref="S24:S39" si="15">L24*I24</f>
        <v>#REF!</v>
      </c>
      <c r="T24" s="114"/>
      <c r="U24" s="135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</row>
    <row r="25" spans="1:31">
      <c r="B25" s="132" t="s">
        <v>287</v>
      </c>
      <c r="C25" s="113">
        <v>8</v>
      </c>
      <c r="D25" s="113">
        <f>IF(O72=1,6,5)</f>
        <v>5</v>
      </c>
      <c r="E25" s="113">
        <v>0</v>
      </c>
      <c r="F25" s="113">
        <f>IF(O72=1,0,1)</f>
        <v>1</v>
      </c>
      <c r="G25" s="113">
        <v>8</v>
      </c>
      <c r="H25" s="113">
        <v>4</v>
      </c>
      <c r="I25" s="113" t="e">
        <f>#REF!</f>
        <v>#REF!</v>
      </c>
      <c r="K25" s="120" t="str">
        <f t="shared" si="8"/>
        <v>FMR - 1021 - 10 - 4</v>
      </c>
      <c r="L25" s="123">
        <v>0</v>
      </c>
      <c r="M25" s="114">
        <f t="shared" si="9"/>
        <v>0</v>
      </c>
      <c r="N25" s="114">
        <f t="shared" si="10"/>
        <v>0</v>
      </c>
      <c r="O25" s="114">
        <f t="shared" si="11"/>
        <v>0</v>
      </c>
      <c r="P25" s="114">
        <f t="shared" si="12"/>
        <v>0</v>
      </c>
      <c r="Q25" s="114">
        <f t="shared" si="13"/>
        <v>0</v>
      </c>
      <c r="R25" s="114">
        <f t="shared" si="14"/>
        <v>0</v>
      </c>
      <c r="S25" s="114" t="e">
        <f t="shared" si="15"/>
        <v>#REF!</v>
      </c>
      <c r="T25" s="114"/>
      <c r="U25" s="124"/>
      <c r="V25" s="136"/>
      <c r="W25" s="125"/>
      <c r="X25" s="125"/>
      <c r="Y25" s="125"/>
      <c r="Z25" s="125"/>
      <c r="AA25" s="125"/>
      <c r="AB25" s="125"/>
      <c r="AC25" s="125"/>
      <c r="AD25" s="125"/>
      <c r="AE25" s="125"/>
    </row>
    <row r="26" spans="1:31">
      <c r="B26" s="132" t="s">
        <v>288</v>
      </c>
      <c r="C26" s="113">
        <v>8</v>
      </c>
      <c r="D26" s="113">
        <f>IF(O72=1,10,6)</f>
        <v>6</v>
      </c>
      <c r="E26" s="113">
        <f>IF(O72=1,0,2)</f>
        <v>2</v>
      </c>
      <c r="F26" s="113">
        <f>IF(O72=1,0,2)</f>
        <v>2</v>
      </c>
      <c r="G26" s="113">
        <v>6</v>
      </c>
      <c r="H26" s="113">
        <v>2</v>
      </c>
      <c r="I26" s="113" t="e">
        <f>#REF!</f>
        <v>#REF!</v>
      </c>
      <c r="K26" s="120" t="str">
        <f t="shared" si="8"/>
        <v>FMR - 1320 - 10 - 4</v>
      </c>
      <c r="L26" s="123">
        <v>0</v>
      </c>
      <c r="M26" s="114">
        <f t="shared" si="9"/>
        <v>0</v>
      </c>
      <c r="N26" s="114">
        <f t="shared" si="10"/>
        <v>0</v>
      </c>
      <c r="O26" s="114">
        <f t="shared" si="11"/>
        <v>0</v>
      </c>
      <c r="P26" s="114">
        <f t="shared" si="12"/>
        <v>0</v>
      </c>
      <c r="Q26" s="114">
        <f t="shared" si="13"/>
        <v>0</v>
      </c>
      <c r="R26" s="114">
        <f t="shared" si="14"/>
        <v>0</v>
      </c>
      <c r="S26" s="114" t="e">
        <f t="shared" si="15"/>
        <v>#REF!</v>
      </c>
      <c r="T26" s="114"/>
      <c r="U26" s="135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</row>
    <row r="27" spans="1:31">
      <c r="B27" s="132" t="s">
        <v>289</v>
      </c>
      <c r="C27" s="113">
        <v>8</v>
      </c>
      <c r="D27" s="113">
        <f>IF(O72=1,8,5)</f>
        <v>5</v>
      </c>
      <c r="E27" s="113">
        <f>IF(O72=1,0,2)</f>
        <v>2</v>
      </c>
      <c r="F27" s="113">
        <f>IF(O72=1,0,1)</f>
        <v>1</v>
      </c>
      <c r="G27" s="113">
        <v>6</v>
      </c>
      <c r="H27" s="113">
        <v>4</v>
      </c>
      <c r="I27" s="113" t="e">
        <f>#REF!</f>
        <v>#REF!</v>
      </c>
      <c r="K27" s="120" t="str">
        <f t="shared" si="8"/>
        <v>FMR  -1321 - 10 - 4</v>
      </c>
      <c r="L27" s="123">
        <v>0</v>
      </c>
      <c r="M27" s="114">
        <f t="shared" si="9"/>
        <v>0</v>
      </c>
      <c r="N27" s="114">
        <f t="shared" si="10"/>
        <v>0</v>
      </c>
      <c r="O27" s="114">
        <f t="shared" si="11"/>
        <v>0</v>
      </c>
      <c r="P27" s="114">
        <f t="shared" si="12"/>
        <v>0</v>
      </c>
      <c r="Q27" s="114">
        <f t="shared" si="13"/>
        <v>0</v>
      </c>
      <c r="R27" s="114">
        <f t="shared" si="14"/>
        <v>0</v>
      </c>
      <c r="S27" s="114" t="e">
        <f t="shared" si="15"/>
        <v>#REF!</v>
      </c>
      <c r="T27" s="114"/>
      <c r="U27" s="124"/>
      <c r="V27" s="136"/>
      <c r="W27" s="125"/>
      <c r="X27" s="125"/>
      <c r="Y27" s="125"/>
      <c r="Z27" s="125"/>
      <c r="AA27" s="125"/>
      <c r="AB27" s="125"/>
      <c r="AC27" s="125"/>
      <c r="AD27" s="125"/>
      <c r="AE27" s="125"/>
    </row>
    <row r="28" spans="1:31">
      <c r="B28" s="132" t="s">
        <v>290</v>
      </c>
      <c r="C28" s="113">
        <v>32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 t="e">
        <f>#REF!</f>
        <v>#REF!</v>
      </c>
      <c r="K28" s="120" t="str">
        <f t="shared" si="8"/>
        <v>FMR - 2222 - 10 - 4</v>
      </c>
      <c r="L28" s="123">
        <v>0</v>
      </c>
      <c r="M28" s="114">
        <f t="shared" si="9"/>
        <v>0</v>
      </c>
      <c r="N28" s="114">
        <f t="shared" si="10"/>
        <v>0</v>
      </c>
      <c r="O28" s="114">
        <f t="shared" si="11"/>
        <v>0</v>
      </c>
      <c r="P28" s="114">
        <f t="shared" si="12"/>
        <v>0</v>
      </c>
      <c r="Q28" s="114">
        <f t="shared" si="13"/>
        <v>0</v>
      </c>
      <c r="R28" s="114">
        <f t="shared" si="14"/>
        <v>0</v>
      </c>
      <c r="S28" s="114" t="e">
        <f t="shared" si="15"/>
        <v>#REF!</v>
      </c>
      <c r="T28" s="114"/>
      <c r="U28" s="135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</row>
    <row r="29" spans="1:31">
      <c r="B29" s="132" t="s">
        <v>291</v>
      </c>
      <c r="C29" s="113">
        <v>16</v>
      </c>
      <c r="D29" s="113">
        <v>12</v>
      </c>
      <c r="E29" s="113">
        <v>0</v>
      </c>
      <c r="F29" s="113">
        <v>0</v>
      </c>
      <c r="G29" s="113">
        <v>0</v>
      </c>
      <c r="H29" s="113">
        <v>0</v>
      </c>
      <c r="I29" s="113" t="e">
        <f>#REF!</f>
        <v>#REF!</v>
      </c>
      <c r="K29" s="120" t="str">
        <f t="shared" si="8"/>
        <v>FMR - 3022 - 10 - 4</v>
      </c>
      <c r="L29" s="123">
        <v>0</v>
      </c>
      <c r="M29" s="114">
        <f t="shared" si="9"/>
        <v>0</v>
      </c>
      <c r="N29" s="114">
        <f t="shared" si="10"/>
        <v>0</v>
      </c>
      <c r="O29" s="114">
        <f t="shared" si="11"/>
        <v>0</v>
      </c>
      <c r="P29" s="114">
        <f t="shared" si="12"/>
        <v>0</v>
      </c>
      <c r="Q29" s="114">
        <f t="shared" si="13"/>
        <v>0</v>
      </c>
      <c r="R29" s="114">
        <f t="shared" si="14"/>
        <v>0</v>
      </c>
      <c r="S29" s="114" t="e">
        <f t="shared" si="15"/>
        <v>#REF!</v>
      </c>
      <c r="T29" s="114"/>
      <c r="U29" s="124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</row>
    <row r="30" spans="1:31">
      <c r="B30" s="132" t="s">
        <v>292</v>
      </c>
      <c r="C30" s="113">
        <v>0</v>
      </c>
      <c r="D30" s="113">
        <v>24</v>
      </c>
      <c r="E30" s="113">
        <v>0</v>
      </c>
      <c r="F30" s="113">
        <v>0</v>
      </c>
      <c r="G30" s="113">
        <v>0</v>
      </c>
      <c r="H30" s="113">
        <v>0</v>
      </c>
      <c r="I30" s="113" t="e">
        <f>#REF!</f>
        <v>#REF!</v>
      </c>
      <c r="K30" s="120" t="str">
        <f t="shared" si="8"/>
        <v>FMR - 3030 - 10 - 4</v>
      </c>
      <c r="L30" s="123">
        <v>0</v>
      </c>
      <c r="M30" s="114">
        <f t="shared" si="9"/>
        <v>0</v>
      </c>
      <c r="N30" s="114">
        <f t="shared" si="10"/>
        <v>0</v>
      </c>
      <c r="O30" s="114">
        <f t="shared" si="11"/>
        <v>0</v>
      </c>
      <c r="P30" s="114">
        <f t="shared" si="12"/>
        <v>0</v>
      </c>
      <c r="Q30" s="114">
        <f t="shared" si="13"/>
        <v>0</v>
      </c>
      <c r="R30" s="114">
        <f t="shared" si="14"/>
        <v>0</v>
      </c>
      <c r="S30" s="114" t="e">
        <f t="shared" si="15"/>
        <v>#REF!</v>
      </c>
      <c r="T30" s="114"/>
      <c r="U30" s="135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</row>
    <row r="31" spans="1:31">
      <c r="B31" s="137" t="s">
        <v>251</v>
      </c>
      <c r="C31" s="113">
        <v>0</v>
      </c>
      <c r="D31" s="113">
        <f>IF(O72=1,4,4)</f>
        <v>4</v>
      </c>
      <c r="E31" s="113">
        <v>0</v>
      </c>
      <c r="F31" s="113">
        <v>0</v>
      </c>
      <c r="G31" s="113">
        <v>8</v>
      </c>
      <c r="H31" s="113">
        <v>0</v>
      </c>
      <c r="I31" s="138" t="e">
        <f>#REF!</f>
        <v>#REF!</v>
      </c>
      <c r="K31" s="120" t="str">
        <f t="shared" si="8"/>
        <v>MRL - 1000-10-4</v>
      </c>
      <c r="L31" s="123">
        <v>0</v>
      </c>
      <c r="M31" s="114">
        <f t="shared" si="9"/>
        <v>0</v>
      </c>
      <c r="N31" s="114">
        <f t="shared" si="10"/>
        <v>0</v>
      </c>
      <c r="O31" s="114">
        <f t="shared" si="11"/>
        <v>0</v>
      </c>
      <c r="P31" s="114">
        <f t="shared" si="12"/>
        <v>0</v>
      </c>
      <c r="Q31" s="114">
        <f t="shared" si="13"/>
        <v>0</v>
      </c>
      <c r="R31" s="114">
        <f t="shared" si="14"/>
        <v>0</v>
      </c>
      <c r="S31" s="114" t="e">
        <f t="shared" si="15"/>
        <v>#REF!</v>
      </c>
      <c r="T31" s="114"/>
      <c r="U31" s="120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pans="1:31">
      <c r="B32" s="137" t="s">
        <v>252</v>
      </c>
      <c r="C32" s="113">
        <v>0</v>
      </c>
      <c r="D32" s="113">
        <f>IF(O72=1,4,2)</f>
        <v>2</v>
      </c>
      <c r="E32" s="113">
        <f>IF(O72=1,0,2)</f>
        <v>2</v>
      </c>
      <c r="F32" s="113">
        <v>0</v>
      </c>
      <c r="G32" s="113">
        <v>8</v>
      </c>
      <c r="H32" s="113">
        <v>0</v>
      </c>
      <c r="I32" s="138" t="e">
        <f>#REF!</f>
        <v>#REF!</v>
      </c>
      <c r="K32" s="120" t="str">
        <f t="shared" si="8"/>
        <v>MRL - 1100-10-4</v>
      </c>
      <c r="L32" s="123">
        <v>0</v>
      </c>
      <c r="M32" s="114">
        <f t="shared" si="9"/>
        <v>0</v>
      </c>
      <c r="N32" s="114">
        <f t="shared" si="10"/>
        <v>0</v>
      </c>
      <c r="O32" s="114">
        <f t="shared" si="11"/>
        <v>0</v>
      </c>
      <c r="P32" s="114">
        <f t="shared" si="12"/>
        <v>0</v>
      </c>
      <c r="Q32" s="114">
        <f t="shared" si="13"/>
        <v>0</v>
      </c>
      <c r="R32" s="114">
        <f t="shared" si="14"/>
        <v>0</v>
      </c>
      <c r="S32" s="114" t="e">
        <f t="shared" si="15"/>
        <v>#REF!</v>
      </c>
      <c r="T32" s="114"/>
      <c r="U32" s="114"/>
    </row>
    <row r="33" spans="1:21">
      <c r="B33" s="137" t="s">
        <v>253</v>
      </c>
      <c r="C33" s="113">
        <v>0</v>
      </c>
      <c r="D33" s="113">
        <f>IF(O72=1,6,4)</f>
        <v>4</v>
      </c>
      <c r="E33" s="113">
        <f>IF(O72=1,0,2)</f>
        <v>2</v>
      </c>
      <c r="F33" s="113">
        <v>0</v>
      </c>
      <c r="G33" s="113">
        <v>6</v>
      </c>
      <c r="H33" s="113">
        <v>0</v>
      </c>
      <c r="I33" s="138" t="e">
        <f>#REF!</f>
        <v>#REF!</v>
      </c>
      <c r="K33" s="120" t="str">
        <f t="shared" si="8"/>
        <v>MRL - 1300-10-4</v>
      </c>
      <c r="L33" s="123">
        <v>0</v>
      </c>
      <c r="M33" s="114">
        <f t="shared" si="9"/>
        <v>0</v>
      </c>
      <c r="N33" s="114">
        <f t="shared" si="10"/>
        <v>0</v>
      </c>
      <c r="O33" s="114">
        <f t="shared" si="11"/>
        <v>0</v>
      </c>
      <c r="P33" s="114">
        <f t="shared" si="12"/>
        <v>0</v>
      </c>
      <c r="Q33" s="114">
        <f t="shared" si="13"/>
        <v>0</v>
      </c>
      <c r="R33" s="114">
        <f t="shared" si="14"/>
        <v>0</v>
      </c>
      <c r="S33" s="114" t="e">
        <f t="shared" si="15"/>
        <v>#REF!</v>
      </c>
      <c r="T33" s="114"/>
      <c r="U33" s="114"/>
    </row>
    <row r="34" spans="1:21">
      <c r="B34" s="137" t="s">
        <v>254</v>
      </c>
      <c r="C34" s="113">
        <v>8</v>
      </c>
      <c r="D34" s="113">
        <f>IF(O72=1,4,2)</f>
        <v>2</v>
      </c>
      <c r="E34" s="113">
        <v>0</v>
      </c>
      <c r="F34" s="113">
        <f>IF(O72=1,0,2)</f>
        <v>2</v>
      </c>
      <c r="G34" s="113">
        <v>0</v>
      </c>
      <c r="H34" s="113">
        <v>2</v>
      </c>
      <c r="I34" s="138" t="e">
        <f>#REF!</f>
        <v>#REF!</v>
      </c>
      <c r="K34" s="120" t="str">
        <f t="shared" si="8"/>
        <v>MRL - 2000-10-4</v>
      </c>
      <c r="L34" s="123">
        <v>0</v>
      </c>
      <c r="M34" s="114">
        <f t="shared" si="9"/>
        <v>0</v>
      </c>
      <c r="N34" s="114">
        <f t="shared" si="10"/>
        <v>0</v>
      </c>
      <c r="O34" s="114">
        <f t="shared" si="11"/>
        <v>0</v>
      </c>
      <c r="P34" s="114">
        <f t="shared" si="12"/>
        <v>0</v>
      </c>
      <c r="Q34" s="114">
        <f t="shared" si="13"/>
        <v>0</v>
      </c>
      <c r="R34" s="114">
        <f t="shared" si="14"/>
        <v>0</v>
      </c>
      <c r="S34" s="114" t="e">
        <f t="shared" si="15"/>
        <v>#REF!</v>
      </c>
      <c r="T34" s="114"/>
      <c r="U34" s="114"/>
    </row>
    <row r="35" spans="1:21">
      <c r="B35" s="137" t="s">
        <v>255</v>
      </c>
      <c r="C35" s="113">
        <v>8</v>
      </c>
      <c r="D35" s="113">
        <f>IF(O72=1,2,1)</f>
        <v>1</v>
      </c>
      <c r="E35" s="113">
        <v>0</v>
      </c>
      <c r="F35" s="113">
        <f>IF(O72=1,0,1)</f>
        <v>1</v>
      </c>
      <c r="G35" s="113">
        <v>0</v>
      </c>
      <c r="H35" s="113">
        <v>4</v>
      </c>
      <c r="I35" s="138" t="e">
        <f>#REF!</f>
        <v>#REF!</v>
      </c>
      <c r="K35" s="120" t="str">
        <f t="shared" si="8"/>
        <v>MRL - 2100-10-4</v>
      </c>
      <c r="L35" s="123">
        <v>0</v>
      </c>
      <c r="M35" s="114">
        <f t="shared" si="9"/>
        <v>0</v>
      </c>
      <c r="N35" s="114">
        <f t="shared" si="10"/>
        <v>0</v>
      </c>
      <c r="O35" s="114">
        <f t="shared" si="11"/>
        <v>0</v>
      </c>
      <c r="P35" s="114">
        <f t="shared" si="12"/>
        <v>0</v>
      </c>
      <c r="Q35" s="114">
        <f t="shared" si="13"/>
        <v>0</v>
      </c>
      <c r="R35" s="114">
        <f t="shared" si="14"/>
        <v>0</v>
      </c>
      <c r="S35" s="114" t="e">
        <f t="shared" si="15"/>
        <v>#REF!</v>
      </c>
      <c r="T35" s="114"/>
      <c r="U35" s="114"/>
    </row>
    <row r="36" spans="1:21">
      <c r="B36" s="137" t="s">
        <v>256</v>
      </c>
      <c r="C36" s="113">
        <v>16</v>
      </c>
      <c r="D36" s="113">
        <v>0</v>
      </c>
      <c r="E36" s="113">
        <v>0</v>
      </c>
      <c r="F36" s="113">
        <v>0</v>
      </c>
      <c r="G36" s="113">
        <v>0</v>
      </c>
      <c r="H36" s="113">
        <v>0</v>
      </c>
      <c r="I36" s="138" t="e">
        <f>#REF!</f>
        <v>#REF!</v>
      </c>
      <c r="K36" s="120" t="str">
        <f t="shared" si="8"/>
        <v>MRL - 2200-10-4</v>
      </c>
      <c r="L36" s="123">
        <v>0</v>
      </c>
      <c r="M36" s="114">
        <f t="shared" si="9"/>
        <v>0</v>
      </c>
      <c r="N36" s="114">
        <f t="shared" si="10"/>
        <v>0</v>
      </c>
      <c r="O36" s="114">
        <f t="shared" si="11"/>
        <v>0</v>
      </c>
      <c r="P36" s="114">
        <f t="shared" si="12"/>
        <v>0</v>
      </c>
      <c r="Q36" s="114">
        <f t="shared" si="13"/>
        <v>0</v>
      </c>
      <c r="R36" s="114">
        <f t="shared" si="14"/>
        <v>0</v>
      </c>
      <c r="S36" s="114" t="e">
        <f t="shared" si="15"/>
        <v>#REF!</v>
      </c>
      <c r="T36" s="114"/>
      <c r="U36" s="114"/>
    </row>
    <row r="37" spans="1:21">
      <c r="B37" s="137" t="s">
        <v>257</v>
      </c>
      <c r="C37" s="113">
        <v>0</v>
      </c>
      <c r="D37" s="113">
        <v>12</v>
      </c>
      <c r="E37" s="113">
        <v>0</v>
      </c>
      <c r="F37" s="113">
        <v>0</v>
      </c>
      <c r="G37" s="113">
        <v>0</v>
      </c>
      <c r="H37" s="113">
        <v>0</v>
      </c>
      <c r="I37" s="138" t="e">
        <f>#REF!</f>
        <v>#REF!</v>
      </c>
      <c r="K37" s="120" t="str">
        <f t="shared" si="8"/>
        <v>MRL - 3000-10-4</v>
      </c>
      <c r="L37" s="123">
        <v>0</v>
      </c>
      <c r="M37" s="114">
        <f t="shared" si="9"/>
        <v>0</v>
      </c>
      <c r="N37" s="114">
        <f t="shared" si="10"/>
        <v>0</v>
      </c>
      <c r="O37" s="114">
        <f t="shared" si="11"/>
        <v>0</v>
      </c>
      <c r="P37" s="114">
        <f t="shared" si="12"/>
        <v>0</v>
      </c>
      <c r="Q37" s="114">
        <f t="shared" si="13"/>
        <v>0</v>
      </c>
      <c r="R37" s="114">
        <f t="shared" si="14"/>
        <v>0</v>
      </c>
      <c r="S37" s="114" t="e">
        <f t="shared" si="15"/>
        <v>#REF!</v>
      </c>
      <c r="T37" s="114"/>
      <c r="U37" s="114"/>
    </row>
    <row r="38" spans="1:21">
      <c r="B38" s="137" t="s">
        <v>258</v>
      </c>
      <c r="C38" s="113">
        <v>0</v>
      </c>
      <c r="D38" s="113">
        <f>IF(O72=1,12,8)</f>
        <v>8</v>
      </c>
      <c r="E38" s="113">
        <f>IF(O72=1,0,4)</f>
        <v>4</v>
      </c>
      <c r="F38" s="113">
        <v>0</v>
      </c>
      <c r="G38" s="113">
        <v>0</v>
      </c>
      <c r="H38" s="113">
        <v>0</v>
      </c>
      <c r="I38" s="138" t="e">
        <f>#REF!</f>
        <v>#REF!</v>
      </c>
      <c r="K38" s="120" t="str">
        <f t="shared" si="8"/>
        <v>MRL - 3300-10-4</v>
      </c>
      <c r="L38" s="123">
        <v>0</v>
      </c>
      <c r="M38" s="114">
        <f t="shared" si="9"/>
        <v>0</v>
      </c>
      <c r="N38" s="114">
        <f t="shared" si="10"/>
        <v>0</v>
      </c>
      <c r="O38" s="114">
        <f t="shared" si="11"/>
        <v>0</v>
      </c>
      <c r="P38" s="114">
        <f t="shared" si="12"/>
        <v>0</v>
      </c>
      <c r="Q38" s="114">
        <f t="shared" si="13"/>
        <v>0</v>
      </c>
      <c r="R38" s="114">
        <f t="shared" si="14"/>
        <v>0</v>
      </c>
      <c r="S38" s="114" t="e">
        <f t="shared" si="15"/>
        <v>#REF!</v>
      </c>
      <c r="T38" s="114"/>
      <c r="U38" s="114"/>
    </row>
    <row r="39" spans="1:21">
      <c r="B39" s="137" t="s">
        <v>259</v>
      </c>
      <c r="C39" s="113">
        <v>0</v>
      </c>
      <c r="D39" s="113">
        <f>IF(O72=1,12,8)</f>
        <v>8</v>
      </c>
      <c r="E39" s="113">
        <v>0</v>
      </c>
      <c r="F39" s="113">
        <f>IF(O72=1,0,4)</f>
        <v>4</v>
      </c>
      <c r="G39" s="113"/>
      <c r="H39" s="113">
        <v>0</v>
      </c>
      <c r="I39" s="138" t="e">
        <f>#REF!</f>
        <v>#REF!</v>
      </c>
      <c r="K39" s="120" t="str">
        <f t="shared" si="8"/>
        <v>MRL - 3400-10-4</v>
      </c>
      <c r="L39" s="123">
        <v>0</v>
      </c>
      <c r="M39" s="114">
        <f t="shared" si="9"/>
        <v>0</v>
      </c>
      <c r="N39" s="114">
        <f t="shared" si="10"/>
        <v>0</v>
      </c>
      <c r="O39" s="114">
        <f t="shared" si="11"/>
        <v>0</v>
      </c>
      <c r="P39" s="114">
        <f t="shared" si="12"/>
        <v>0</v>
      </c>
      <c r="Q39" s="114">
        <f t="shared" si="13"/>
        <v>0</v>
      </c>
      <c r="R39" s="114">
        <f t="shared" si="14"/>
        <v>0</v>
      </c>
      <c r="S39" s="114" t="e">
        <f t="shared" si="15"/>
        <v>#REF!</v>
      </c>
      <c r="T39" s="114"/>
      <c r="U39" s="114"/>
    </row>
    <row r="40" spans="1:21">
      <c r="B40" s="132"/>
      <c r="C40" s="113"/>
      <c r="D40" s="113"/>
      <c r="E40" s="113"/>
      <c r="F40" s="113"/>
      <c r="G40" s="113"/>
      <c r="H40" s="113"/>
      <c r="I40" s="113"/>
      <c r="K40" s="139" t="s">
        <v>169</v>
      </c>
      <c r="L40" s="139">
        <f t="shared" ref="L40:S40" si="16">SUM(L7:L39)</f>
        <v>0</v>
      </c>
      <c r="M40" s="139">
        <f t="shared" si="16"/>
        <v>0</v>
      </c>
      <c r="N40" s="139">
        <f t="shared" si="16"/>
        <v>0</v>
      </c>
      <c r="O40" s="139">
        <f t="shared" si="16"/>
        <v>0</v>
      </c>
      <c r="P40" s="139">
        <f t="shared" si="16"/>
        <v>0</v>
      </c>
      <c r="Q40" s="139">
        <f t="shared" si="16"/>
        <v>0</v>
      </c>
      <c r="R40" s="139">
        <f t="shared" si="16"/>
        <v>0</v>
      </c>
      <c r="S40" s="139" t="e">
        <f t="shared" si="16"/>
        <v>#REF!</v>
      </c>
      <c r="T40" s="114" t="s">
        <v>274</v>
      </c>
      <c r="U40" s="114"/>
    </row>
    <row r="41" spans="1:21">
      <c r="B41" s="132"/>
      <c r="C41" s="113"/>
      <c r="D41" s="113"/>
      <c r="E41" s="113"/>
      <c r="F41" s="113"/>
      <c r="G41" s="113"/>
      <c r="H41" s="113"/>
      <c r="I41" s="113"/>
      <c r="K41" s="114"/>
      <c r="L41" s="114"/>
      <c r="M41" s="114"/>
      <c r="N41" s="114"/>
      <c r="O41" s="114"/>
      <c r="P41" s="114"/>
      <c r="Q41" s="114"/>
      <c r="R41" s="114"/>
      <c r="S41" s="114">
        <v>0</v>
      </c>
      <c r="T41" s="114"/>
      <c r="U41" s="114"/>
    </row>
    <row r="42" spans="1:21">
      <c r="B42" s="132"/>
      <c r="C42" s="113"/>
      <c r="D42" s="113"/>
      <c r="E42" s="113"/>
      <c r="F42" s="113"/>
      <c r="G42" s="113"/>
      <c r="H42" s="113"/>
      <c r="I42" s="113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</row>
    <row r="43" spans="1:21">
      <c r="B43" s="132"/>
      <c r="C43" s="113"/>
      <c r="D43" s="113"/>
      <c r="E43" s="113"/>
      <c r="F43" s="113"/>
      <c r="G43" s="113"/>
      <c r="H43" s="113"/>
      <c r="I43" s="113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</row>
    <row r="44" spans="1:21">
      <c r="B44" s="132"/>
      <c r="C44" s="113"/>
      <c r="D44" s="113"/>
      <c r="E44" s="113"/>
      <c r="F44" s="113"/>
      <c r="G44" s="113"/>
      <c r="H44" s="113"/>
      <c r="I44" s="113"/>
      <c r="K44" s="114"/>
      <c r="L44" s="114"/>
      <c r="M44" s="114"/>
      <c r="N44" s="114"/>
      <c r="O44" s="114"/>
      <c r="P44" s="114"/>
      <c r="Q44" s="114"/>
      <c r="R44" s="114"/>
      <c r="S44" s="114"/>
      <c r="T44" s="114"/>
    </row>
    <row r="45" spans="1:21">
      <c r="A45" s="114"/>
      <c r="B45" s="142"/>
      <c r="C45" s="112"/>
      <c r="D45" s="112"/>
      <c r="E45" s="112"/>
      <c r="F45" s="113"/>
      <c r="G45" s="112"/>
      <c r="H45" s="112"/>
      <c r="I45" s="113"/>
      <c r="K45" s="114"/>
      <c r="L45" s="114"/>
      <c r="M45" s="114"/>
      <c r="N45" s="114"/>
      <c r="O45" s="114"/>
      <c r="P45" s="114"/>
      <c r="Q45" s="114"/>
      <c r="R45" s="114"/>
      <c r="S45" s="114"/>
      <c r="T45" s="114"/>
    </row>
    <row r="46" spans="1:21">
      <c r="B46" s="142"/>
      <c r="C46" s="112"/>
      <c r="D46" s="112"/>
      <c r="E46" s="112"/>
      <c r="F46" s="112"/>
      <c r="G46" s="112"/>
      <c r="H46" s="112"/>
      <c r="K46" s="114"/>
      <c r="L46" s="114"/>
      <c r="M46" s="114"/>
      <c r="N46" s="114"/>
      <c r="O46" s="114"/>
      <c r="P46" s="114"/>
      <c r="Q46" s="114"/>
      <c r="R46" s="114"/>
      <c r="S46" s="114"/>
      <c r="T46" s="114"/>
    </row>
    <row r="47" spans="1:21">
      <c r="B47" s="121"/>
      <c r="C47" s="122"/>
      <c r="K47" s="114"/>
      <c r="L47" s="114"/>
      <c r="M47" s="114"/>
      <c r="N47" s="114"/>
      <c r="O47" s="114"/>
      <c r="P47" s="114"/>
      <c r="Q47" s="114"/>
      <c r="R47" s="114"/>
      <c r="S47" s="114"/>
      <c r="T47" s="114"/>
    </row>
    <row r="48" spans="1:21">
      <c r="B48" s="122"/>
      <c r="C48" s="122"/>
      <c r="K48" s="114"/>
      <c r="L48" s="114"/>
      <c r="M48" s="114"/>
      <c r="N48" s="114"/>
      <c r="O48" s="114"/>
      <c r="P48" s="114"/>
      <c r="Q48" s="114"/>
      <c r="R48" s="114"/>
      <c r="S48" s="114"/>
      <c r="T48" s="114"/>
    </row>
    <row r="49" spans="2:20">
      <c r="B49" s="122"/>
      <c r="C49" s="122"/>
      <c r="I49" s="126"/>
      <c r="K49" s="114"/>
      <c r="L49" s="114"/>
      <c r="M49" s="114"/>
      <c r="N49" s="114"/>
      <c r="O49" s="114"/>
      <c r="P49" s="114"/>
      <c r="Q49" s="114"/>
      <c r="R49" s="114"/>
      <c r="S49" s="114"/>
      <c r="T49" s="114"/>
    </row>
    <row r="50" spans="2:20">
      <c r="C50" s="127"/>
      <c r="E50" s="127"/>
      <c r="F50" s="127"/>
      <c r="G50" s="127"/>
      <c r="H50" s="127"/>
      <c r="I50" s="128"/>
      <c r="K50" s="114"/>
      <c r="L50" s="114"/>
      <c r="M50" s="114"/>
      <c r="N50" s="114"/>
      <c r="O50" s="114"/>
      <c r="P50" s="114"/>
      <c r="Q50" s="114"/>
      <c r="R50" s="114"/>
      <c r="S50" s="114"/>
      <c r="T50" s="114"/>
    </row>
    <row r="51" spans="2:20">
      <c r="C51" s="122"/>
      <c r="K51" s="114"/>
      <c r="L51" s="114"/>
      <c r="M51" s="114"/>
      <c r="N51" s="114"/>
      <c r="O51" s="114"/>
      <c r="P51" s="114"/>
      <c r="Q51" s="114"/>
      <c r="R51" s="114"/>
      <c r="S51" s="114"/>
      <c r="T51" s="114"/>
    </row>
    <row r="52" spans="2:20">
      <c r="C52" s="122"/>
      <c r="K52" s="114"/>
      <c r="L52" s="114"/>
      <c r="M52" s="114"/>
      <c r="N52" s="114"/>
      <c r="O52" s="114"/>
      <c r="P52" s="114"/>
      <c r="Q52" s="114"/>
      <c r="R52" s="114"/>
      <c r="S52" s="114"/>
      <c r="T52" s="114"/>
    </row>
    <row r="53" spans="2:20">
      <c r="C53" s="122"/>
      <c r="K53" s="114"/>
      <c r="L53" s="114"/>
      <c r="M53" s="114"/>
      <c r="N53" s="114"/>
      <c r="O53" s="114"/>
      <c r="P53" s="114"/>
      <c r="Q53" s="114"/>
      <c r="R53" s="114"/>
      <c r="S53" s="114"/>
      <c r="T53" s="114"/>
    </row>
    <row r="54" spans="2:20">
      <c r="C54" s="127"/>
      <c r="E54" s="127"/>
      <c r="F54" s="127"/>
      <c r="G54" s="127"/>
      <c r="H54" s="127"/>
      <c r="I54" s="127"/>
      <c r="K54" s="120"/>
      <c r="L54" s="120"/>
      <c r="M54" s="114"/>
      <c r="N54" s="114"/>
      <c r="O54" s="114"/>
      <c r="P54" s="114"/>
      <c r="Q54" s="114"/>
      <c r="R54" s="114"/>
      <c r="S54" s="114"/>
      <c r="T54" s="114"/>
    </row>
    <row r="55" spans="2:20">
      <c r="C55" s="127"/>
      <c r="E55" s="127"/>
      <c r="F55" s="127"/>
      <c r="G55" s="127"/>
      <c r="H55" s="127"/>
      <c r="I55" s="127"/>
      <c r="K55" s="120"/>
      <c r="L55" s="120"/>
      <c r="M55" s="114"/>
      <c r="N55" s="114"/>
      <c r="O55" s="114"/>
      <c r="P55" s="114"/>
      <c r="Q55" s="114"/>
      <c r="R55" s="114"/>
      <c r="S55" s="114"/>
      <c r="T55" s="114"/>
    </row>
    <row r="56" spans="2:20">
      <c r="C56" s="127"/>
      <c r="E56" s="127"/>
      <c r="F56" s="127"/>
      <c r="G56" s="127"/>
      <c r="H56" s="127"/>
      <c r="I56" s="127"/>
      <c r="K56" s="120"/>
      <c r="L56" s="120"/>
      <c r="M56" s="114"/>
      <c r="N56" s="114"/>
      <c r="O56" s="114"/>
      <c r="P56" s="114"/>
      <c r="Q56" s="114"/>
      <c r="R56" s="114"/>
      <c r="S56" s="114"/>
      <c r="T56" s="114"/>
    </row>
    <row r="57" spans="2:20">
      <c r="B57" s="122"/>
      <c r="C57" s="122"/>
      <c r="I57" s="126"/>
      <c r="K57" s="120"/>
      <c r="L57" s="120"/>
      <c r="M57" s="114"/>
      <c r="N57" s="114"/>
      <c r="O57" s="114"/>
      <c r="P57" s="114"/>
      <c r="Q57" s="114"/>
      <c r="R57" s="114"/>
      <c r="S57" s="114"/>
      <c r="T57" s="114"/>
    </row>
    <row r="58" spans="2:20">
      <c r="C58" s="127"/>
      <c r="E58" s="127"/>
      <c r="F58" s="127"/>
      <c r="G58" s="127"/>
      <c r="H58" s="127"/>
      <c r="I58" s="128"/>
      <c r="K58" s="120"/>
      <c r="L58" s="120"/>
      <c r="M58" s="114"/>
      <c r="N58" s="114"/>
      <c r="O58" s="114"/>
      <c r="P58" s="114"/>
      <c r="Q58" s="114"/>
      <c r="R58" s="114"/>
      <c r="S58" s="114"/>
      <c r="T58" s="114"/>
    </row>
    <row r="59" spans="2:20">
      <c r="C59" s="122"/>
      <c r="I59" s="128"/>
      <c r="K59" s="120"/>
      <c r="L59" s="120"/>
      <c r="M59" s="114"/>
      <c r="N59" s="114"/>
      <c r="O59" s="114"/>
      <c r="P59" s="114"/>
      <c r="Q59" s="114"/>
      <c r="R59" s="114"/>
      <c r="S59" s="114"/>
      <c r="T59" s="114"/>
    </row>
    <row r="60" spans="2:20">
      <c r="C60" s="122"/>
      <c r="I60" s="128"/>
      <c r="K60" s="120"/>
      <c r="L60" s="120"/>
      <c r="M60" s="114"/>
      <c r="N60" s="114"/>
      <c r="O60" s="114"/>
      <c r="P60" s="114"/>
      <c r="Q60" s="114"/>
      <c r="R60" s="114"/>
      <c r="S60" s="114"/>
      <c r="T60" s="114"/>
    </row>
    <row r="61" spans="2:20">
      <c r="C61" s="127"/>
      <c r="E61" s="127"/>
      <c r="F61" s="127"/>
      <c r="G61" s="127"/>
      <c r="H61" s="127"/>
      <c r="I61" s="128"/>
      <c r="K61" s="120"/>
      <c r="L61" s="120"/>
      <c r="M61" s="114"/>
      <c r="N61" s="114"/>
      <c r="O61" s="114"/>
      <c r="P61" s="114"/>
      <c r="Q61" s="114"/>
      <c r="R61" s="114"/>
      <c r="S61" s="114"/>
      <c r="T61" s="114"/>
    </row>
    <row r="62" spans="2:20">
      <c r="C62" s="127"/>
      <c r="E62" s="127"/>
      <c r="F62" s="127"/>
      <c r="G62" s="127"/>
      <c r="H62" s="127"/>
      <c r="I62" s="127"/>
      <c r="K62" s="120"/>
      <c r="L62" s="120"/>
      <c r="M62" s="114"/>
      <c r="N62" s="114"/>
      <c r="O62" s="114"/>
      <c r="P62" s="114"/>
      <c r="Q62" s="114"/>
      <c r="R62" s="114"/>
      <c r="S62" s="114"/>
      <c r="T62" s="114"/>
    </row>
    <row r="63" spans="2:20">
      <c r="B63" s="132"/>
      <c r="C63" s="127"/>
      <c r="G63" s="127"/>
      <c r="H63" s="127"/>
      <c r="I63" s="127"/>
      <c r="K63" s="120"/>
      <c r="L63" s="120"/>
      <c r="M63" s="119" t="s">
        <v>276</v>
      </c>
      <c r="N63" s="114">
        <v>2</v>
      </c>
      <c r="O63" s="114">
        <f>IF(N63=2, 1,0)</f>
        <v>1</v>
      </c>
      <c r="P63" s="114"/>
      <c r="Q63" s="114"/>
      <c r="R63" s="114"/>
      <c r="S63" s="114"/>
      <c r="T63" s="114"/>
    </row>
    <row r="64" spans="2:20">
      <c r="C64" s="127"/>
      <c r="E64" s="127"/>
      <c r="F64" s="127"/>
      <c r="G64" s="127"/>
      <c r="H64" s="127"/>
      <c r="I64" s="127"/>
      <c r="K64" s="120"/>
      <c r="L64" s="120"/>
      <c r="M64" s="114" t="s">
        <v>277</v>
      </c>
      <c r="N64" s="114">
        <v>1</v>
      </c>
      <c r="O64" s="140"/>
      <c r="P64" s="114"/>
      <c r="Q64" s="114"/>
      <c r="R64" s="114"/>
      <c r="S64" s="114"/>
      <c r="T64" s="114"/>
    </row>
    <row r="65" spans="2:20">
      <c r="C65" s="127"/>
      <c r="E65" s="127"/>
      <c r="F65" s="127"/>
      <c r="G65" s="127"/>
      <c r="H65" s="127"/>
      <c r="I65" s="127"/>
      <c r="K65" s="120"/>
      <c r="L65" s="120"/>
      <c r="M65" s="114" t="s">
        <v>278</v>
      </c>
      <c r="N65" s="114">
        <v>2</v>
      </c>
      <c r="O65" s="114"/>
      <c r="P65" s="114"/>
      <c r="Q65" s="114"/>
      <c r="R65" s="114"/>
      <c r="S65" s="114"/>
      <c r="T65" s="114"/>
    </row>
    <row r="66" spans="2:20">
      <c r="K66" s="120"/>
      <c r="L66" s="120"/>
      <c r="M66" s="114" t="s">
        <v>279</v>
      </c>
      <c r="N66" s="114" t="s">
        <v>184</v>
      </c>
      <c r="O66" s="114" t="str">
        <f>IF(M67=1,CONCATENATE(M66,N67),CONCATENATE(M66,N66))</f>
        <v>DO реле</v>
      </c>
      <c r="P66" s="114"/>
      <c r="Q66" s="114"/>
      <c r="R66" s="114"/>
      <c r="S66" s="114"/>
      <c r="T66" s="114"/>
    </row>
    <row r="67" spans="2:20">
      <c r="K67" s="120"/>
      <c r="L67" s="120"/>
      <c r="M67" s="114">
        <f>O72</f>
        <v>0</v>
      </c>
      <c r="N67" s="114"/>
      <c r="O67" s="114"/>
      <c r="P67" s="114"/>
      <c r="Q67" s="114"/>
      <c r="R67" s="114"/>
      <c r="S67" s="114"/>
      <c r="T67" s="114"/>
    </row>
    <row r="68" spans="2:20">
      <c r="B68" s="122"/>
      <c r="C68" s="122"/>
      <c r="K68" s="120"/>
      <c r="L68" s="120"/>
      <c r="M68" s="114"/>
      <c r="N68" s="114"/>
      <c r="O68" s="114"/>
      <c r="P68" s="114"/>
      <c r="Q68" s="114"/>
      <c r="R68" s="114"/>
      <c r="S68" s="114"/>
      <c r="T68" s="114"/>
    </row>
    <row r="69" spans="2:20">
      <c r="K69" s="120"/>
      <c r="L69" s="120"/>
      <c r="M69" s="114"/>
      <c r="N69" s="114"/>
      <c r="O69" s="114"/>
      <c r="P69" s="114"/>
      <c r="Q69" s="114"/>
      <c r="R69" s="114"/>
      <c r="S69" s="114"/>
      <c r="T69" s="114"/>
    </row>
    <row r="70" spans="2:20">
      <c r="B70" s="122"/>
      <c r="C70" s="122"/>
      <c r="I70" s="126"/>
      <c r="K70" s="120"/>
      <c r="L70" s="120"/>
      <c r="M70" s="114" t="s">
        <v>280</v>
      </c>
      <c r="N70" s="114"/>
      <c r="O70" s="114"/>
      <c r="P70" s="114"/>
      <c r="Q70" s="114"/>
      <c r="R70" s="114"/>
      <c r="S70" s="114"/>
      <c r="T70" s="114"/>
    </row>
    <row r="71" spans="2:20">
      <c r="C71" s="127"/>
      <c r="E71" s="127"/>
      <c r="F71" s="127"/>
      <c r="G71" s="127"/>
      <c r="H71" s="127"/>
      <c r="I71" s="128"/>
      <c r="K71" s="120"/>
      <c r="L71" s="120"/>
      <c r="M71" s="114" t="s">
        <v>281</v>
      </c>
      <c r="N71" s="114">
        <f>IF(L80&gt;1,1,0)</f>
        <v>0</v>
      </c>
      <c r="O71" s="118"/>
      <c r="P71" s="118"/>
      <c r="Q71" s="114"/>
      <c r="R71" s="114"/>
      <c r="S71" s="114"/>
      <c r="T71" s="114"/>
    </row>
    <row r="72" spans="2:20">
      <c r="C72" s="122"/>
      <c r="K72" s="120"/>
      <c r="L72" s="120"/>
      <c r="M72" s="114" t="s">
        <v>282</v>
      </c>
      <c r="N72" s="114" t="b">
        <v>0</v>
      </c>
      <c r="O72" s="114">
        <f>IF(N72=TRUE,1,0)</f>
        <v>0</v>
      </c>
      <c r="P72" s="118"/>
      <c r="Q72" s="114"/>
      <c r="R72" s="114"/>
      <c r="S72" s="114"/>
      <c r="T72" s="114"/>
    </row>
    <row r="73" spans="2:20">
      <c r="C73" s="122"/>
      <c r="K73" s="120"/>
      <c r="L73" s="120"/>
      <c r="M73" s="118" t="s">
        <v>293</v>
      </c>
      <c r="N73" s="118">
        <f>IF(L80=4,0,9999)</f>
        <v>9999</v>
      </c>
      <c r="O73" s="118">
        <f>SUM(L24:L30)</f>
        <v>0</v>
      </c>
      <c r="P73" s="118"/>
      <c r="Q73" s="114"/>
      <c r="R73" s="114"/>
      <c r="S73" s="114"/>
      <c r="T73" s="114"/>
    </row>
    <row r="74" spans="2:20">
      <c r="C74" s="122"/>
      <c r="K74" s="120"/>
      <c r="L74" s="120"/>
      <c r="M74" s="118" t="s">
        <v>294</v>
      </c>
      <c r="N74" s="118">
        <f>IF(L80=5,1,0)</f>
        <v>0</v>
      </c>
      <c r="O74" s="114">
        <f>SUM(L24:L30)</f>
        <v>0</v>
      </c>
      <c r="P74" s="114"/>
      <c r="Q74" s="114"/>
      <c r="R74" s="114"/>
      <c r="S74" s="114"/>
      <c r="T74" s="114"/>
    </row>
    <row r="75" spans="2:20">
      <c r="C75" s="127"/>
      <c r="E75" s="127"/>
      <c r="F75" s="127"/>
      <c r="G75" s="127"/>
      <c r="H75" s="127"/>
      <c r="I75" s="128"/>
      <c r="K75" s="120"/>
      <c r="L75" s="120"/>
      <c r="M75" s="115"/>
      <c r="N75" s="139"/>
      <c r="O75" s="118"/>
      <c r="P75" s="118"/>
      <c r="Q75" s="114"/>
      <c r="R75" s="114"/>
      <c r="S75" s="114"/>
      <c r="T75" s="114"/>
    </row>
    <row r="76" spans="2:20">
      <c r="C76" s="127"/>
      <c r="E76" s="127"/>
      <c r="F76" s="127"/>
      <c r="G76" s="127"/>
      <c r="H76" s="127"/>
      <c r="I76" s="128"/>
      <c r="K76" s="120"/>
      <c r="L76" s="120"/>
      <c r="M76" s="116" t="s">
        <v>283</v>
      </c>
      <c r="N76" s="114">
        <f>SUM(L7:L30)</f>
        <v>0</v>
      </c>
      <c r="O76" s="114"/>
      <c r="P76" s="114"/>
      <c r="Q76" s="114"/>
      <c r="R76" s="114"/>
      <c r="S76" s="114"/>
      <c r="T76" s="114"/>
    </row>
    <row r="77" spans="2:20">
      <c r="C77" s="127"/>
      <c r="E77" s="127"/>
      <c r="F77" s="127"/>
      <c r="G77" s="127"/>
      <c r="H77" s="127"/>
      <c r="I77" s="128"/>
      <c r="K77" s="120"/>
      <c r="L77" s="120"/>
      <c r="M77" s="116" t="s">
        <v>284</v>
      </c>
      <c r="N77" s="114">
        <f>SUM(L31:L39)</f>
        <v>0</v>
      </c>
      <c r="O77" s="114"/>
      <c r="P77" s="114"/>
      <c r="Q77" s="114"/>
      <c r="R77" s="114"/>
      <c r="S77" s="114"/>
      <c r="T77" s="114"/>
    </row>
    <row r="78" spans="2:20">
      <c r="C78" s="122"/>
      <c r="K78" s="120"/>
      <c r="L78" s="120"/>
      <c r="M78" s="116" t="s">
        <v>285</v>
      </c>
      <c r="N78" s="114">
        <f>N76*2</f>
        <v>0</v>
      </c>
      <c r="O78" s="114"/>
      <c r="P78" s="114"/>
      <c r="Q78" s="114"/>
      <c r="R78" s="114"/>
      <c r="S78" s="114"/>
      <c r="T78" s="114"/>
    </row>
    <row r="79" spans="2:20">
      <c r="C79" s="122"/>
      <c r="K79" s="132"/>
      <c r="L79" s="120"/>
      <c r="M79" s="116"/>
      <c r="N79" s="114"/>
      <c r="O79" s="114"/>
      <c r="P79" s="114"/>
      <c r="Q79" s="114"/>
    </row>
    <row r="80" spans="2:20">
      <c r="C80" s="122"/>
      <c r="I80" s="126"/>
      <c r="K80" s="132"/>
      <c r="L80" s="120">
        <v>1</v>
      </c>
      <c r="M80" s="114" t="s">
        <v>275</v>
      </c>
      <c r="N80" s="114">
        <f>IF(L80=1,1,0)</f>
        <v>1</v>
      </c>
      <c r="O80" s="114">
        <f>L7</f>
        <v>0</v>
      </c>
      <c r="P80" s="114"/>
      <c r="Q80" s="114"/>
    </row>
    <row r="81" spans="2:17">
      <c r="C81" s="122"/>
      <c r="I81" s="128"/>
      <c r="K81" s="132"/>
      <c r="L81" s="120"/>
      <c r="M81" s="114" t="s">
        <v>313</v>
      </c>
      <c r="N81" s="114">
        <f>IF(L80=2,1,0)</f>
        <v>0</v>
      </c>
      <c r="O81" s="114">
        <f>L8</f>
        <v>0</v>
      </c>
      <c r="P81" s="114"/>
      <c r="Q81" s="114"/>
    </row>
    <row r="82" spans="2:17">
      <c r="C82" s="127"/>
      <c r="E82" s="127"/>
      <c r="F82" s="127"/>
      <c r="G82" s="127"/>
      <c r="H82" s="127"/>
      <c r="I82" s="128"/>
      <c r="L82" s="114"/>
      <c r="M82" s="114" t="s">
        <v>311</v>
      </c>
      <c r="N82" s="114">
        <f>IF(L80=3,1,0)</f>
        <v>0</v>
      </c>
      <c r="O82" s="114">
        <f>SUM(L9:L16)</f>
        <v>0</v>
      </c>
      <c r="P82" s="114"/>
      <c r="Q82" s="114"/>
    </row>
    <row r="83" spans="2:17">
      <c r="C83" s="127"/>
      <c r="E83" s="127"/>
      <c r="F83" s="127"/>
      <c r="G83" s="127"/>
      <c r="H83" s="127"/>
      <c r="I83" s="128"/>
      <c r="L83" s="114"/>
      <c r="M83" s="114" t="s">
        <v>316</v>
      </c>
      <c r="N83" s="114">
        <f>IF(L80=4,1,0)</f>
        <v>0</v>
      </c>
      <c r="O83" s="114">
        <f>SUM(L17:L22)</f>
        <v>0</v>
      </c>
      <c r="P83" s="114"/>
      <c r="Q83" s="114"/>
    </row>
    <row r="84" spans="2:17">
      <c r="C84" s="127"/>
      <c r="E84" s="127"/>
      <c r="F84" s="127"/>
      <c r="G84" s="127"/>
      <c r="H84" s="127"/>
      <c r="I84" s="127"/>
      <c r="M84" s="111" t="s">
        <v>312</v>
      </c>
      <c r="N84" s="111">
        <f>IF(L80=5,1,0)</f>
        <v>0</v>
      </c>
      <c r="O84" s="111">
        <f>L23</f>
        <v>0</v>
      </c>
    </row>
    <row r="85" spans="2:17">
      <c r="C85" s="127"/>
      <c r="E85" s="127"/>
      <c r="F85" s="127"/>
      <c r="G85" s="127"/>
      <c r="H85" s="127"/>
      <c r="I85" s="127"/>
      <c r="M85" s="111" t="s">
        <v>314</v>
      </c>
      <c r="N85" s="111">
        <f>SUM(L7:L23)</f>
        <v>0</v>
      </c>
    </row>
    <row r="86" spans="2:17">
      <c r="C86" s="127"/>
      <c r="E86" s="127"/>
      <c r="F86" s="127"/>
      <c r="G86" s="127"/>
      <c r="H86" s="127"/>
      <c r="I86" s="127"/>
      <c r="M86" s="111" t="s">
        <v>315</v>
      </c>
      <c r="N86" s="111">
        <f>IF(L80=1,0,1)</f>
        <v>0</v>
      </c>
    </row>
    <row r="87" spans="2:17">
      <c r="C87" s="127"/>
      <c r="E87" s="127"/>
      <c r="F87" s="127"/>
      <c r="G87" s="127"/>
      <c r="H87" s="127"/>
      <c r="I87" s="127"/>
    </row>
    <row r="88" spans="2:17">
      <c r="C88" s="127"/>
      <c r="E88" s="127"/>
      <c r="F88" s="127"/>
      <c r="G88" s="127"/>
      <c r="H88" s="127"/>
      <c r="I88" s="127"/>
      <c r="K88" s="132"/>
      <c r="L88" s="132"/>
      <c r="M88" s="132"/>
      <c r="N88" s="132"/>
      <c r="O88" s="132"/>
      <c r="P88" s="132"/>
    </row>
    <row r="89" spans="2:17">
      <c r="B89" s="122"/>
      <c r="C89" s="122"/>
      <c r="K89" s="132"/>
      <c r="L89" s="132"/>
      <c r="M89" s="132"/>
      <c r="N89" s="132"/>
      <c r="O89" s="132"/>
      <c r="P89" s="132"/>
    </row>
    <row r="90" spans="2:17">
      <c r="C90" s="127"/>
      <c r="E90" s="127"/>
      <c r="F90" s="127"/>
      <c r="G90" s="127"/>
      <c r="H90" s="127"/>
      <c r="I90" s="127"/>
      <c r="K90" s="132"/>
      <c r="L90" s="132"/>
      <c r="M90" s="132"/>
      <c r="N90" s="132"/>
      <c r="O90" s="132"/>
      <c r="P90" s="132"/>
    </row>
    <row r="91" spans="2:17">
      <c r="K91" s="132"/>
      <c r="L91" s="132"/>
      <c r="M91" s="132"/>
      <c r="N91" s="132"/>
      <c r="O91" s="132"/>
      <c r="P91" s="132"/>
    </row>
    <row r="92" spans="2:17">
      <c r="K92" s="132"/>
      <c r="L92" s="132"/>
      <c r="M92" s="132"/>
      <c r="N92" s="132"/>
      <c r="O92" s="132"/>
      <c r="P92" s="132"/>
    </row>
    <row r="93" spans="2:17">
      <c r="K93" s="132"/>
      <c r="L93" s="132"/>
      <c r="M93" s="132"/>
      <c r="N93" s="132"/>
      <c r="O93" s="132"/>
      <c r="P93" s="132"/>
    </row>
    <row r="94" spans="2:17">
      <c r="K94" s="132"/>
      <c r="L94" s="132"/>
      <c r="M94" s="132"/>
      <c r="N94" s="132"/>
      <c r="O94" s="132"/>
      <c r="P94" s="132"/>
    </row>
    <row r="95" spans="2:17">
      <c r="K95" s="132"/>
      <c r="L95" s="132"/>
      <c r="M95" s="132"/>
      <c r="N95" s="132"/>
      <c r="O95" s="132"/>
      <c r="P95" s="132"/>
    </row>
    <row r="96" spans="2:17">
      <c r="K96" s="132"/>
      <c r="L96" s="132"/>
      <c r="M96" s="132"/>
      <c r="N96" s="132"/>
      <c r="O96" s="132"/>
      <c r="P96" s="132"/>
    </row>
    <row r="97" spans="1:16">
      <c r="K97" s="132"/>
      <c r="L97" s="132"/>
      <c r="M97" s="132"/>
      <c r="N97" s="132"/>
      <c r="O97" s="132"/>
      <c r="P97" s="132"/>
    </row>
    <row r="98" spans="1:16">
      <c r="K98" s="132"/>
      <c r="L98" s="132"/>
      <c r="M98" s="132"/>
      <c r="N98" s="132"/>
      <c r="O98" s="132"/>
      <c r="P98" s="132"/>
    </row>
    <row r="99" spans="1:16">
      <c r="A99" s="132"/>
      <c r="B99" s="122"/>
      <c r="C99" s="122"/>
      <c r="G99" s="132"/>
      <c r="H99" s="132"/>
      <c r="I99" s="132"/>
      <c r="J99" s="132"/>
      <c r="K99" s="132"/>
      <c r="L99" s="132"/>
      <c r="M99" s="132"/>
      <c r="N99" s="132"/>
      <c r="O99" s="132"/>
      <c r="P99" s="132"/>
    </row>
    <row r="100" spans="1:16">
      <c r="C100" s="127"/>
      <c r="E100" s="127"/>
      <c r="F100" s="127"/>
      <c r="G100" s="127"/>
      <c r="H100" s="127"/>
      <c r="I100" s="127"/>
      <c r="J100" s="132"/>
      <c r="K100" s="132"/>
      <c r="L100" s="132"/>
      <c r="M100" s="132"/>
      <c r="N100" s="132"/>
      <c r="O100" s="132"/>
      <c r="P100" s="132"/>
    </row>
    <row r="101" spans="1:16">
      <c r="A101" s="132"/>
      <c r="B101" s="132"/>
      <c r="C101" s="127"/>
      <c r="G101" s="127"/>
      <c r="H101" s="127"/>
      <c r="I101" s="127"/>
      <c r="J101" s="132"/>
      <c r="K101" s="132"/>
      <c r="L101" s="132"/>
      <c r="M101" s="132"/>
      <c r="N101" s="132"/>
      <c r="O101" s="132"/>
      <c r="P101" s="132"/>
    </row>
    <row r="102" spans="1:16">
      <c r="C102" s="127"/>
      <c r="E102" s="127"/>
      <c r="F102" s="127"/>
      <c r="G102" s="127"/>
      <c r="H102" s="127"/>
      <c r="I102" s="127"/>
      <c r="J102" s="132"/>
      <c r="K102" s="132"/>
      <c r="L102" s="132"/>
      <c r="M102" s="132"/>
      <c r="N102" s="132"/>
      <c r="O102" s="132"/>
      <c r="P102" s="132"/>
    </row>
    <row r="103" spans="1:16">
      <c r="A103" s="132"/>
      <c r="C103" s="12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</row>
    <row r="104" spans="1:16">
      <c r="C104" s="12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</row>
    <row r="105" spans="1:16">
      <c r="A105" s="132"/>
      <c r="C105" s="127"/>
      <c r="E105" s="127"/>
      <c r="F105" s="127"/>
      <c r="G105" s="127"/>
      <c r="H105" s="127"/>
      <c r="I105" s="127"/>
      <c r="J105" s="132"/>
      <c r="K105" s="132"/>
      <c r="L105" s="132"/>
      <c r="M105" s="132"/>
      <c r="N105" s="132"/>
      <c r="O105" s="132"/>
      <c r="P105" s="132"/>
    </row>
    <row r="106" spans="1:16">
      <c r="C106" s="127"/>
      <c r="E106" s="127"/>
      <c r="F106" s="127"/>
      <c r="G106" s="127"/>
      <c r="H106" s="127"/>
      <c r="I106" s="127"/>
      <c r="J106" s="132"/>
      <c r="K106" s="132"/>
      <c r="L106" s="132"/>
      <c r="M106" s="132"/>
      <c r="N106" s="132"/>
      <c r="O106" s="132"/>
      <c r="P106" s="132"/>
    </row>
    <row r="107" spans="1:16">
      <c r="A107" s="132"/>
      <c r="C107" s="127"/>
      <c r="E107" s="127"/>
      <c r="F107" s="127"/>
      <c r="G107" s="127"/>
      <c r="H107" s="127"/>
      <c r="I107" s="127"/>
      <c r="J107" s="132"/>
      <c r="K107" s="132"/>
      <c r="L107" s="132"/>
      <c r="M107" s="132"/>
      <c r="N107" s="132"/>
      <c r="O107" s="132"/>
      <c r="P107" s="132"/>
    </row>
    <row r="108" spans="1:16">
      <c r="B108" s="122"/>
      <c r="C108" s="12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</row>
    <row r="109" spans="1:16">
      <c r="A109" s="132"/>
      <c r="C109" s="127"/>
      <c r="E109" s="127"/>
      <c r="F109" s="127"/>
      <c r="G109" s="127"/>
      <c r="H109" s="127"/>
      <c r="I109" s="127"/>
      <c r="J109" s="132"/>
      <c r="K109" s="132"/>
      <c r="L109" s="132"/>
      <c r="M109" s="132"/>
      <c r="N109" s="132"/>
      <c r="O109" s="132"/>
      <c r="P109" s="132"/>
    </row>
    <row r="110" spans="1:16">
      <c r="B110" s="132"/>
      <c r="C110" s="127"/>
      <c r="G110" s="127"/>
      <c r="H110" s="127"/>
      <c r="I110" s="127"/>
      <c r="K110" s="132"/>
      <c r="L110" s="132"/>
      <c r="M110" s="132"/>
      <c r="N110" s="132"/>
      <c r="O110" s="132"/>
      <c r="P110" s="132"/>
    </row>
    <row r="111" spans="1:16">
      <c r="K111" s="132"/>
      <c r="L111" s="132"/>
      <c r="M111" s="132"/>
      <c r="N111" s="132"/>
      <c r="O111" s="132"/>
      <c r="P111" s="132"/>
    </row>
    <row r="112" spans="1:16">
      <c r="K112" s="132"/>
      <c r="L112" s="132"/>
      <c r="M112" s="132"/>
      <c r="N112" s="132"/>
      <c r="O112" s="132"/>
      <c r="P112" s="132"/>
    </row>
    <row r="113" spans="11:16">
      <c r="K113" s="132"/>
      <c r="L113" s="132"/>
      <c r="M113" s="132"/>
      <c r="N113" s="132"/>
      <c r="O113" s="132"/>
      <c r="P113" s="132"/>
    </row>
    <row r="114" spans="11:16">
      <c r="K114" s="132"/>
      <c r="L114" s="132"/>
      <c r="M114" s="132"/>
      <c r="N114" s="132"/>
      <c r="O114" s="132"/>
      <c r="P114" s="132"/>
    </row>
    <row r="115" spans="11:16">
      <c r="K115" s="132"/>
      <c r="L115" s="132"/>
      <c r="M115" s="132"/>
      <c r="N115" s="132"/>
      <c r="O115" s="132"/>
      <c r="P115" s="132"/>
    </row>
    <row r="116" spans="11:16">
      <c r="K116" s="132"/>
      <c r="L116" s="132"/>
      <c r="M116" s="132"/>
      <c r="N116" s="132"/>
      <c r="O116" s="132"/>
      <c r="P116" s="132"/>
    </row>
    <row r="117" spans="11:16">
      <c r="K117" s="132"/>
      <c r="L117" s="132"/>
      <c r="M117" s="132"/>
      <c r="N117" s="132"/>
      <c r="O117" s="132"/>
      <c r="P117" s="132"/>
    </row>
    <row r="118" spans="11:16">
      <c r="K118" s="132"/>
      <c r="L118" s="132"/>
      <c r="M118" s="132"/>
      <c r="N118" s="132"/>
      <c r="O118" s="132"/>
      <c r="P118" s="132"/>
    </row>
    <row r="119" spans="11:16">
      <c r="K119" s="132"/>
      <c r="L119" s="132"/>
      <c r="M119" s="132"/>
      <c r="N119" s="132"/>
      <c r="O119" s="132"/>
      <c r="P119" s="132"/>
    </row>
    <row r="120" spans="11:16">
      <c r="K120" s="132"/>
      <c r="L120" s="132"/>
      <c r="M120" s="132"/>
      <c r="N120" s="132"/>
      <c r="O120" s="132"/>
      <c r="P120" s="132"/>
    </row>
  </sheetData>
  <sheetProtection sheet="1" objects="1" scenarios="1"/>
  <customSheetViews>
    <customSheetView guid="{EE5C2B4E-0986-4484-AC0A-003A1AA7501D}" state="hidden" topLeftCell="K1263">
      <selection activeCell="K110" sqref="K110"/>
      <pageMargins left="0.7" right="0.7" top="0.75" bottom="0.75" header="0.3" footer="0.3"/>
      <pageSetup paperSize="9" orientation="portrait" verticalDpi="0" r:id="rId1"/>
    </customSheetView>
    <customSheetView guid="{11D08DB2-E31A-4B7D-96E3-15D146D9C90A}" state="hidden" topLeftCell="K1263">
      <selection activeCell="K110" sqref="K110"/>
      <pageMargins left="0.7" right="0.7" top="0.75" bottom="0.75" header="0.3" footer="0.3"/>
      <pageSetup paperSize="9" orientation="portrait" verticalDpi="0" r:id="rId2"/>
    </customSheetView>
  </customSheetViews>
  <mergeCells count="4">
    <mergeCell ref="B1:I2"/>
    <mergeCell ref="B3:B4"/>
    <mergeCell ref="I3:I4"/>
    <mergeCell ref="B45:B46"/>
  </mergeCells>
  <pageMargins left="0.7" right="0.7" top="0.75" bottom="0.75" header="0.3" footer="0.3"/>
  <pageSetup paperSize="9" orientation="portrait" verticalDpi="0"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5"/>
  <dimension ref="A1:AG294"/>
  <sheetViews>
    <sheetView topLeftCell="A486" zoomScale="85" zoomScaleNormal="85" workbookViewId="0">
      <selection activeCell="M517" sqref="M517"/>
    </sheetView>
  </sheetViews>
  <sheetFormatPr defaultColWidth="9.109375" defaultRowHeight="14.4"/>
  <cols>
    <col min="1" max="1" width="28.6640625" style="60" customWidth="1"/>
    <col min="2" max="2" width="21.44140625" style="60" customWidth="1"/>
    <col min="3" max="3" width="5.6640625" style="60" customWidth="1"/>
    <col min="4" max="4" width="13.6640625" style="60" customWidth="1"/>
    <col min="5" max="5" width="11.109375" style="60" bestFit="1" customWidth="1"/>
    <col min="6" max="6" width="9.33203125" style="60" bestFit="1" customWidth="1"/>
    <col min="7" max="21" width="9.109375" style="60"/>
    <col min="22" max="22" width="42.6640625" style="60" customWidth="1"/>
    <col min="23" max="16384" width="9.109375" style="60"/>
  </cols>
  <sheetData>
    <row r="1" spans="1:23">
      <c r="A1" s="60" t="s">
        <v>109</v>
      </c>
      <c r="B1" s="60" t="s">
        <v>112</v>
      </c>
      <c r="E1" s="61"/>
      <c r="F1" s="61"/>
    </row>
    <row r="2" spans="1:23">
      <c r="A2" s="60" t="s">
        <v>110</v>
      </c>
      <c r="B2" s="60" t="s">
        <v>113</v>
      </c>
      <c r="E2" s="61"/>
      <c r="F2" s="61"/>
    </row>
    <row r="3" spans="1:23">
      <c r="A3" s="60" t="s">
        <v>111</v>
      </c>
      <c r="B3" s="60" t="s">
        <v>114</v>
      </c>
      <c r="E3" s="61"/>
      <c r="F3" s="61"/>
    </row>
    <row r="4" spans="1:23">
      <c r="E4" s="61"/>
      <c r="F4" s="61"/>
    </row>
    <row r="5" spans="1:23">
      <c r="A5" s="60" t="s">
        <v>152</v>
      </c>
      <c r="C5" s="60" t="e">
        <f>((100-#REF!)/100)</f>
        <v>#REF!</v>
      </c>
      <c r="D5" s="60" t="s">
        <v>108</v>
      </c>
      <c r="E5" s="61"/>
      <c r="F5" s="61"/>
    </row>
    <row r="6" spans="1:23">
      <c r="E6" s="61"/>
      <c r="F6" s="61"/>
    </row>
    <row r="7" spans="1:23">
      <c r="A7" s="62" t="s">
        <v>0</v>
      </c>
      <c r="B7" s="62"/>
      <c r="C7" s="62"/>
      <c r="D7" s="63"/>
      <c r="E7" s="64"/>
      <c r="F7" s="64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</row>
    <row r="8" spans="1:23">
      <c r="A8" s="65" t="s">
        <v>190</v>
      </c>
      <c r="B8" s="65"/>
      <c r="C8" s="65"/>
      <c r="D8" s="66">
        <v>225</v>
      </c>
      <c r="E8" s="66"/>
      <c r="F8" s="67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</row>
    <row r="9" spans="1:23">
      <c r="A9" s="65" t="s">
        <v>192</v>
      </c>
      <c r="B9" s="65"/>
      <c r="C9" s="65"/>
      <c r="D9" s="66">
        <v>227</v>
      </c>
      <c r="E9" s="66"/>
      <c r="F9" s="67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</row>
    <row r="10" spans="1:23">
      <c r="A10" s="65" t="s">
        <v>191</v>
      </c>
      <c r="B10" s="65"/>
      <c r="C10" s="65"/>
      <c r="D10" s="66">
        <v>285</v>
      </c>
      <c r="E10" s="66"/>
      <c r="F10" s="67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</row>
    <row r="11" spans="1:23">
      <c r="A11" s="65" t="s">
        <v>249</v>
      </c>
      <c r="B11" s="65"/>
      <c r="C11" s="65"/>
      <c r="D11" s="66">
        <v>260</v>
      </c>
      <c r="E11" s="66"/>
      <c r="F11" s="67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</row>
    <row r="12" spans="1:23">
      <c r="A12" s="65" t="s">
        <v>241</v>
      </c>
      <c r="B12" s="65"/>
      <c r="C12" s="65"/>
      <c r="D12" s="66">
        <v>466.32</v>
      </c>
      <c r="E12" s="66"/>
      <c r="F12" s="67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</row>
    <row r="13" spans="1:23">
      <c r="A13" s="68" t="s">
        <v>242</v>
      </c>
      <c r="B13" s="65"/>
      <c r="C13" s="65"/>
      <c r="D13" s="66">
        <v>432.7</v>
      </c>
      <c r="E13" s="66"/>
      <c r="F13" s="67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</row>
    <row r="14" spans="1:23">
      <c r="A14" s="68" t="s">
        <v>243</v>
      </c>
      <c r="B14" s="65"/>
      <c r="C14" s="65"/>
      <c r="D14" s="66">
        <v>546.55999999999995</v>
      </c>
      <c r="E14" s="66"/>
      <c r="F14" s="67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</row>
    <row r="15" spans="1:23">
      <c r="A15" s="68" t="s">
        <v>244</v>
      </c>
      <c r="B15" s="65"/>
      <c r="C15" s="65"/>
      <c r="D15" s="66">
        <v>515.75</v>
      </c>
      <c r="E15" s="66"/>
      <c r="F15" s="67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</row>
    <row r="16" spans="1:23">
      <c r="A16" s="68" t="s">
        <v>245</v>
      </c>
      <c r="B16" s="65"/>
      <c r="C16" s="65"/>
      <c r="D16" s="66">
        <v>591.5</v>
      </c>
      <c r="E16" s="66"/>
      <c r="F16" s="67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</row>
    <row r="17" spans="1:23">
      <c r="A17" s="68" t="s">
        <v>157</v>
      </c>
      <c r="B17" s="65"/>
      <c r="C17" s="65"/>
      <c r="D17" s="66">
        <v>250</v>
      </c>
      <c r="E17" s="66"/>
      <c r="F17" s="67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</row>
    <row r="18" spans="1:23">
      <c r="A18" s="63" t="s">
        <v>24</v>
      </c>
      <c r="B18" s="63"/>
      <c r="C18" s="63"/>
      <c r="D18" s="66">
        <v>160</v>
      </c>
      <c r="E18" s="66"/>
      <c r="F18" s="67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</row>
    <row r="19" spans="1:23">
      <c r="A19" s="63" t="s">
        <v>25</v>
      </c>
      <c r="B19" s="63"/>
      <c r="C19" s="63"/>
      <c r="D19" s="66">
        <v>160</v>
      </c>
      <c r="E19" s="66"/>
      <c r="F19" s="67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</row>
    <row r="20" spans="1:23">
      <c r="A20" s="63" t="s">
        <v>26</v>
      </c>
      <c r="B20" s="63"/>
      <c r="C20" s="63"/>
      <c r="D20" s="66"/>
      <c r="E20" s="66"/>
      <c r="F20" s="67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</row>
    <row r="21" spans="1:23">
      <c r="A21" s="63" t="s">
        <v>27</v>
      </c>
      <c r="B21" s="63"/>
      <c r="C21" s="63"/>
      <c r="D21" s="66"/>
      <c r="E21" s="66"/>
      <c r="F21" s="67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</row>
    <row r="22" spans="1:23">
      <c r="A22" s="63" t="s">
        <v>28</v>
      </c>
      <c r="B22" s="63"/>
      <c r="C22" s="63"/>
      <c r="D22" s="66"/>
      <c r="E22" s="66"/>
      <c r="F22" s="67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</row>
    <row r="23" spans="1:23">
      <c r="A23" s="63" t="s">
        <v>29</v>
      </c>
      <c r="B23" s="63"/>
      <c r="C23" s="63"/>
      <c r="D23" s="66">
        <v>136.59326999999999</v>
      </c>
      <c r="E23" s="66"/>
      <c r="F23" s="67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</row>
    <row r="24" spans="1:23">
      <c r="A24" s="63" t="s">
        <v>30</v>
      </c>
      <c r="B24" s="63"/>
      <c r="C24" s="63"/>
      <c r="D24" s="66">
        <v>0</v>
      </c>
      <c r="E24" s="66"/>
      <c r="F24" s="67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</row>
    <row r="25" spans="1:23">
      <c r="D25" s="69"/>
      <c r="E25" s="69"/>
      <c r="F25" s="67"/>
    </row>
    <row r="26" spans="1:23">
      <c r="A26" s="62" t="s">
        <v>148</v>
      </c>
      <c r="B26" s="62"/>
      <c r="C26" s="62"/>
      <c r="D26" s="69"/>
      <c r="E26" s="69"/>
      <c r="F26" s="67"/>
    </row>
    <row r="27" spans="1:23">
      <c r="A27" s="63" t="s">
        <v>196</v>
      </c>
      <c r="B27" s="63"/>
      <c r="C27" s="63"/>
      <c r="D27" s="66">
        <v>82</v>
      </c>
      <c r="E27" s="66"/>
      <c r="F27" s="67"/>
    </row>
    <row r="28" spans="1:23">
      <c r="D28" s="69"/>
      <c r="E28" s="69"/>
      <c r="F28" s="67"/>
    </row>
    <row r="29" spans="1:23">
      <c r="A29" s="62" t="s">
        <v>1</v>
      </c>
      <c r="B29" s="62"/>
      <c r="C29" s="62"/>
      <c r="D29" s="69"/>
      <c r="E29" s="69"/>
      <c r="F29" s="67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</row>
    <row r="30" spans="1:23">
      <c r="A30" s="63" t="s">
        <v>178</v>
      </c>
      <c r="B30" s="63"/>
      <c r="C30" s="63"/>
      <c r="D30" s="66">
        <v>126.31</v>
      </c>
      <c r="E30" s="66"/>
      <c r="F30" s="67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</row>
    <row r="31" spans="1:23">
      <c r="A31" s="63" t="s">
        <v>179</v>
      </c>
      <c r="B31" s="63"/>
      <c r="C31" s="63"/>
      <c r="D31" s="66">
        <v>124</v>
      </c>
      <c r="E31" s="66"/>
      <c r="F31" s="67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</row>
    <row r="32" spans="1:23">
      <c r="A32" s="63" t="s">
        <v>180</v>
      </c>
      <c r="B32" s="63"/>
      <c r="C32" s="63"/>
      <c r="D32" s="66">
        <v>123.32</v>
      </c>
      <c r="E32" s="66"/>
      <c r="F32" s="67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</row>
    <row r="33" spans="1:23">
      <c r="A33" s="63" t="s">
        <v>189</v>
      </c>
      <c r="B33" s="63"/>
      <c r="C33" s="63"/>
      <c r="D33" s="66">
        <v>123.32</v>
      </c>
      <c r="E33" s="66"/>
      <c r="F33" s="67"/>
      <c r="W33" s="63"/>
    </row>
    <row r="34" spans="1:23">
      <c r="A34" s="63" t="s">
        <v>195</v>
      </c>
      <c r="B34" s="63"/>
      <c r="C34" s="63"/>
      <c r="D34" s="66">
        <v>123.32</v>
      </c>
      <c r="E34" s="66"/>
      <c r="F34" s="67"/>
      <c r="W34" s="63"/>
    </row>
    <row r="35" spans="1:23">
      <c r="A35" s="63" t="s">
        <v>183</v>
      </c>
      <c r="B35" s="63"/>
      <c r="C35" s="63"/>
      <c r="D35" s="66">
        <v>105.07</v>
      </c>
      <c r="E35" s="66"/>
      <c r="F35" s="67"/>
      <c r="W35" s="63"/>
    </row>
    <row r="36" spans="1:23">
      <c r="A36" s="63" t="s">
        <v>181</v>
      </c>
      <c r="B36" s="63"/>
      <c r="C36" s="63"/>
      <c r="D36" s="66">
        <v>115.48</v>
      </c>
      <c r="E36" s="66"/>
      <c r="F36" s="67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</row>
    <row r="37" spans="1:23">
      <c r="A37" s="63" t="s">
        <v>182</v>
      </c>
      <c r="B37" s="63"/>
      <c r="C37" s="63"/>
      <c r="D37" s="66">
        <v>125.88</v>
      </c>
      <c r="E37" s="66"/>
      <c r="F37" s="67"/>
      <c r="W37" s="63"/>
    </row>
    <row r="38" spans="1:23">
      <c r="A38" s="63" t="s">
        <v>31</v>
      </c>
      <c r="B38" s="63"/>
      <c r="C38" s="63"/>
      <c r="D38" s="66">
        <v>331.92</v>
      </c>
      <c r="E38" s="66"/>
      <c r="F38" s="67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</row>
    <row r="39" spans="1:23">
      <c r="A39" s="63" t="s">
        <v>32</v>
      </c>
      <c r="B39" s="63"/>
      <c r="C39" s="63"/>
      <c r="D39" s="66"/>
      <c r="E39" s="66"/>
      <c r="F39" s="67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</row>
    <row r="40" spans="1:23">
      <c r="A40" s="63" t="s">
        <v>33</v>
      </c>
      <c r="B40" s="63"/>
      <c r="C40" s="63"/>
      <c r="D40" s="66">
        <v>392.68</v>
      </c>
      <c r="E40" s="66"/>
      <c r="F40" s="67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</row>
    <row r="41" spans="1:23">
      <c r="A41" s="63" t="s">
        <v>34</v>
      </c>
      <c r="B41" s="63"/>
      <c r="C41" s="63"/>
      <c r="D41" s="66"/>
      <c r="E41" s="66"/>
      <c r="F41" s="67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</row>
    <row r="42" spans="1:23">
      <c r="A42" s="63" t="s">
        <v>35</v>
      </c>
      <c r="B42" s="63"/>
      <c r="C42" s="63"/>
      <c r="D42" s="66">
        <f>76.25</f>
        <v>76.25</v>
      </c>
      <c r="E42" s="66"/>
      <c r="F42" s="67"/>
      <c r="W42" s="63"/>
    </row>
    <row r="43" spans="1:23">
      <c r="A43" s="63" t="s">
        <v>36</v>
      </c>
      <c r="B43" s="63"/>
      <c r="C43" s="63"/>
      <c r="D43" s="66">
        <v>70</v>
      </c>
      <c r="E43" s="66"/>
      <c r="F43" s="67"/>
      <c r="W43" s="63"/>
    </row>
    <row r="44" spans="1:23">
      <c r="A44" s="63" t="s">
        <v>37</v>
      </c>
      <c r="B44" s="63"/>
      <c r="C44" s="63"/>
      <c r="D44" s="66">
        <v>80</v>
      </c>
      <c r="E44" s="66"/>
      <c r="F44" s="67"/>
      <c r="W44" s="63"/>
    </row>
    <row r="45" spans="1:23">
      <c r="A45" s="63" t="s">
        <v>38</v>
      </c>
      <c r="B45" s="63"/>
      <c r="C45" s="63"/>
      <c r="D45" s="66">
        <v>80</v>
      </c>
      <c r="E45" s="66"/>
      <c r="F45" s="67"/>
      <c r="W45" s="63"/>
    </row>
    <row r="46" spans="1:23">
      <c r="A46" s="63" t="s">
        <v>39</v>
      </c>
      <c r="B46" s="63"/>
      <c r="C46" s="63"/>
      <c r="D46" s="66">
        <v>70</v>
      </c>
      <c r="E46" s="66"/>
      <c r="F46" s="67"/>
      <c r="W46" s="63"/>
    </row>
    <row r="47" spans="1:23">
      <c r="A47" s="63" t="s">
        <v>176</v>
      </c>
      <c r="B47" s="63"/>
      <c r="C47" s="63"/>
      <c r="D47" s="66">
        <v>70</v>
      </c>
      <c r="E47" s="66"/>
      <c r="F47" s="67"/>
      <c r="W47" s="63"/>
    </row>
    <row r="48" spans="1:23">
      <c r="F48" s="67"/>
    </row>
    <row r="49" spans="1:23">
      <c r="A49" s="62" t="s">
        <v>22</v>
      </c>
      <c r="B49" s="62"/>
      <c r="C49" s="62"/>
      <c r="F49" s="67"/>
      <c r="W49" s="63"/>
    </row>
    <row r="50" spans="1:23">
      <c r="A50" s="63" t="s">
        <v>40</v>
      </c>
      <c r="B50" s="63"/>
      <c r="C50" s="63"/>
      <c r="D50" s="66">
        <v>12.59046</v>
      </c>
      <c r="E50" s="66"/>
      <c r="F50" s="67"/>
      <c r="W50" s="63"/>
    </row>
    <row r="51" spans="1:23">
      <c r="A51" s="63" t="s">
        <v>41</v>
      </c>
      <c r="B51" s="63"/>
      <c r="C51" s="63"/>
      <c r="D51" s="66">
        <v>12</v>
      </c>
      <c r="E51" s="66"/>
      <c r="F51" s="67"/>
      <c r="W51" s="63"/>
    </row>
    <row r="52" spans="1:23">
      <c r="A52" s="63" t="s">
        <v>42</v>
      </c>
      <c r="B52" s="63"/>
      <c r="C52" s="63"/>
      <c r="D52" s="66">
        <v>25.170750000000002</v>
      </c>
      <c r="E52" s="66"/>
      <c r="F52" s="67"/>
      <c r="W52" s="63"/>
    </row>
    <row r="53" spans="1:23">
      <c r="A53" s="62" t="s">
        <v>3</v>
      </c>
      <c r="B53" s="62"/>
      <c r="C53" s="62"/>
      <c r="F53" s="67"/>
      <c r="W53" s="63"/>
    </row>
    <row r="54" spans="1:23">
      <c r="A54" s="63" t="s">
        <v>46</v>
      </c>
      <c r="B54" s="63"/>
      <c r="C54" s="63"/>
      <c r="D54" s="66">
        <v>10.20051</v>
      </c>
      <c r="E54" s="66"/>
      <c r="F54" s="67"/>
      <c r="W54" s="63"/>
    </row>
    <row r="55" spans="1:23">
      <c r="A55" s="63" t="s">
        <v>45</v>
      </c>
      <c r="B55" s="63"/>
      <c r="C55" s="63"/>
      <c r="D55" s="66"/>
      <c r="E55" s="66"/>
      <c r="F55" s="67"/>
      <c r="W55" s="63"/>
    </row>
    <row r="56" spans="1:23">
      <c r="A56" s="62" t="s">
        <v>23</v>
      </c>
      <c r="B56" s="62"/>
      <c r="C56" s="62"/>
      <c r="F56" s="67"/>
      <c r="W56" s="63"/>
    </row>
    <row r="57" spans="1:23">
      <c r="A57" s="63" t="s">
        <v>43</v>
      </c>
      <c r="B57" s="63"/>
      <c r="C57" s="63"/>
      <c r="D57" s="66">
        <v>58.721580000000003</v>
      </c>
      <c r="E57" s="66"/>
      <c r="F57" s="67"/>
      <c r="W57" s="63"/>
    </row>
    <row r="58" spans="1:23">
      <c r="A58" s="63" t="s">
        <v>44</v>
      </c>
      <c r="B58" s="63"/>
      <c r="C58" s="63"/>
      <c r="D58" s="66">
        <v>89.862120000000004</v>
      </c>
      <c r="E58" s="66"/>
      <c r="F58" s="67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</row>
    <row r="59" spans="1:23">
      <c r="A59" s="63" t="s">
        <v>193</v>
      </c>
      <c r="B59" s="63"/>
      <c r="C59" s="63"/>
      <c r="D59" s="66">
        <f>1.2*26</f>
        <v>31.2</v>
      </c>
      <c r="E59" s="66"/>
      <c r="F59" s="67"/>
      <c r="W59" s="63"/>
    </row>
    <row r="60" spans="1:23">
      <c r="A60" s="63" t="s">
        <v>194</v>
      </c>
      <c r="B60" s="63"/>
      <c r="C60" s="63"/>
      <c r="D60" s="66">
        <f>1.2*26</f>
        <v>31.2</v>
      </c>
      <c r="E60" s="66"/>
      <c r="F60" s="67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</row>
    <row r="61" spans="1:23">
      <c r="A61" s="63" t="s">
        <v>236</v>
      </c>
      <c r="B61" s="63"/>
      <c r="C61" s="63"/>
      <c r="D61" s="66">
        <f>1.2*36</f>
        <v>43.199999999999996</v>
      </c>
      <c r="E61" s="66"/>
      <c r="F61" s="67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</row>
    <row r="62" spans="1:23">
      <c r="A62" s="62" t="s">
        <v>2</v>
      </c>
      <c r="B62" s="62"/>
      <c r="C62" s="62"/>
      <c r="D62" s="63"/>
      <c r="E62" s="63"/>
      <c r="F62" s="67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</row>
    <row r="63" spans="1:23">
      <c r="A63" s="75" t="s">
        <v>250</v>
      </c>
      <c r="B63" s="62"/>
      <c r="C63" s="62"/>
      <c r="D63" s="66">
        <f>15.61</f>
        <v>15.61</v>
      </c>
      <c r="E63" s="63"/>
      <c r="F63" s="67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</row>
    <row r="64" spans="1:23">
      <c r="A64" s="63" t="s">
        <v>47</v>
      </c>
      <c r="B64" s="63"/>
      <c r="C64" s="63"/>
      <c r="D64" s="66">
        <f>1.2*8.15634</f>
        <v>9.7876080000000005</v>
      </c>
      <c r="E64" s="66"/>
      <c r="F64" s="67"/>
    </row>
    <row r="65" spans="1:23">
      <c r="A65" s="63" t="s">
        <v>48</v>
      </c>
      <c r="B65" s="63"/>
      <c r="C65" s="63"/>
      <c r="D65" s="66">
        <f>1.2*16.31268</f>
        <v>19.575216000000001</v>
      </c>
      <c r="E65" s="66"/>
      <c r="F65" s="67"/>
    </row>
    <row r="66" spans="1:23">
      <c r="A66" s="63" t="s">
        <v>49</v>
      </c>
      <c r="B66" s="63"/>
      <c r="C66" s="63"/>
      <c r="D66" s="66">
        <f>1.2*20.38068</f>
        <v>24.456816</v>
      </c>
      <c r="E66" s="66"/>
      <c r="F66" s="67"/>
    </row>
    <row r="67" spans="1:23">
      <c r="A67" s="70" t="s">
        <v>50</v>
      </c>
      <c r="B67" s="70"/>
      <c r="C67" s="70"/>
      <c r="D67" s="66">
        <f>1.2*10.20051</f>
        <v>12.240611999999999</v>
      </c>
      <c r="E67" s="66"/>
      <c r="F67" s="67"/>
    </row>
    <row r="68" spans="1:23">
      <c r="A68" s="63" t="s">
        <v>51</v>
      </c>
      <c r="B68" s="63"/>
      <c r="C68" s="63"/>
      <c r="D68" s="66">
        <f>1.2*20.38068</f>
        <v>24.456816</v>
      </c>
      <c r="E68" s="66"/>
      <c r="F68" s="67"/>
    </row>
    <row r="69" spans="1:23">
      <c r="A69" s="63" t="s">
        <v>52</v>
      </c>
      <c r="B69" s="63"/>
      <c r="C69" s="63"/>
      <c r="D69" s="66">
        <f>1.2*10.20051</f>
        <v>12.240611999999999</v>
      </c>
      <c r="E69" s="66"/>
      <c r="F69" s="67"/>
    </row>
    <row r="70" spans="1:23">
      <c r="A70" s="63" t="s">
        <v>53</v>
      </c>
      <c r="B70" s="63"/>
      <c r="C70" s="63"/>
      <c r="D70" s="66">
        <f>1.2*10.20051</f>
        <v>12.240611999999999</v>
      </c>
      <c r="E70" s="66"/>
      <c r="F70" s="67"/>
    </row>
    <row r="71" spans="1:23">
      <c r="A71" s="63" t="s">
        <v>54</v>
      </c>
      <c r="B71" s="63"/>
      <c r="C71" s="63"/>
      <c r="D71" s="66">
        <f>1.2*10.20051</f>
        <v>12.240611999999999</v>
      </c>
      <c r="E71" s="66"/>
      <c r="F71" s="67"/>
    </row>
    <row r="72" spans="1:23">
      <c r="E72" s="61"/>
      <c r="F72" s="61"/>
    </row>
    <row r="73" spans="1:23">
      <c r="E73" s="61"/>
      <c r="F73" s="61"/>
    </row>
    <row r="74" spans="1:23">
      <c r="A74" s="63" t="s">
        <v>4</v>
      </c>
      <c r="B74" s="63"/>
      <c r="C74" s="63"/>
      <c r="E74" s="61"/>
      <c r="F74" s="61"/>
      <c r="H74" s="63"/>
      <c r="S74" s="63"/>
      <c r="T74" s="63"/>
      <c r="U74" s="63"/>
      <c r="V74" s="63"/>
      <c r="W74" s="63"/>
    </row>
    <row r="75" spans="1:23">
      <c r="A75" s="71" t="s">
        <v>94</v>
      </c>
      <c r="D75" s="72" t="s">
        <v>55</v>
      </c>
      <c r="E75" s="73">
        <v>1</v>
      </c>
      <c r="F75" s="74">
        <f>LOOKUP(E75,A76:A80,D76:D80)</f>
        <v>156.95564400000001</v>
      </c>
    </row>
    <row r="76" spans="1:23">
      <c r="A76" s="71">
        <v>1</v>
      </c>
      <c r="B76" s="75" t="s">
        <v>85</v>
      </c>
      <c r="C76" s="76">
        <v>1</v>
      </c>
      <c r="D76" s="77">
        <v>156.95564400000001</v>
      </c>
      <c r="E76" s="77"/>
      <c r="F76" s="67"/>
    </row>
    <row r="77" spans="1:23">
      <c r="A77" s="71">
        <v>2</v>
      </c>
      <c r="B77" s="75" t="s">
        <v>82</v>
      </c>
      <c r="C77" s="72">
        <v>2</v>
      </c>
      <c r="D77" s="77">
        <v>174.93213600000001</v>
      </c>
      <c r="E77" s="77"/>
      <c r="F77" s="67"/>
    </row>
    <row r="78" spans="1:23">
      <c r="A78" s="71">
        <v>3</v>
      </c>
      <c r="B78" s="75" t="s">
        <v>83</v>
      </c>
      <c r="C78" s="72">
        <v>3</v>
      </c>
      <c r="D78" s="77">
        <v>166.547988</v>
      </c>
      <c r="E78" s="77"/>
      <c r="F78" s="67"/>
      <c r="M78" s="72"/>
      <c r="N78" s="66"/>
    </row>
    <row r="79" spans="1:23">
      <c r="A79" s="71">
        <v>4</v>
      </c>
      <c r="B79" s="75" t="s">
        <v>84</v>
      </c>
      <c r="C79" s="72">
        <v>4</v>
      </c>
      <c r="D79" s="77">
        <v>174.93213600000001</v>
      </c>
      <c r="E79" s="77"/>
      <c r="F79" s="67"/>
      <c r="M79" s="72"/>
      <c r="N79" s="66"/>
    </row>
    <row r="80" spans="1:23">
      <c r="A80" s="71">
        <v>5</v>
      </c>
      <c r="B80" s="75" t="s">
        <v>127</v>
      </c>
      <c r="C80" s="72">
        <v>7</v>
      </c>
      <c r="D80" s="77">
        <v>174.93213600000001</v>
      </c>
      <c r="E80" s="77"/>
      <c r="F80" s="67"/>
      <c r="M80" s="72"/>
      <c r="N80" s="66"/>
    </row>
    <row r="81" spans="1:22">
      <c r="A81" s="71" t="s">
        <v>93</v>
      </c>
      <c r="B81" s="78"/>
      <c r="D81" s="72" t="s">
        <v>55</v>
      </c>
      <c r="E81" s="73">
        <v>2</v>
      </c>
      <c r="F81" s="74">
        <f>LOOKUP(E81,A82:A87,D82:D87)</f>
        <v>23.962554000000001</v>
      </c>
    </row>
    <row r="82" spans="1:22">
      <c r="A82" s="71">
        <v>1</v>
      </c>
      <c r="B82" s="75" t="s">
        <v>105</v>
      </c>
      <c r="C82" s="72">
        <v>1</v>
      </c>
      <c r="D82" s="77">
        <v>0</v>
      </c>
      <c r="E82" s="77"/>
      <c r="F82" s="67"/>
      <c r="G82" s="72"/>
    </row>
    <row r="83" spans="1:22">
      <c r="A83" s="71">
        <v>2</v>
      </c>
      <c r="B83" s="75" t="s">
        <v>104</v>
      </c>
      <c r="C83" s="72">
        <v>2</v>
      </c>
      <c r="D83" s="77">
        <v>23.962554000000001</v>
      </c>
      <c r="E83" s="77"/>
      <c r="F83" s="67"/>
    </row>
    <row r="84" spans="1:22">
      <c r="A84" s="71">
        <v>3</v>
      </c>
      <c r="B84" s="75" t="s">
        <v>118</v>
      </c>
      <c r="C84" s="72">
        <v>3</v>
      </c>
      <c r="D84" s="77">
        <v>34.744788</v>
      </c>
      <c r="E84" s="77"/>
      <c r="F84" s="67"/>
    </row>
    <row r="85" spans="1:22">
      <c r="A85" s="71">
        <v>4</v>
      </c>
      <c r="B85" s="75" t="s">
        <v>100</v>
      </c>
      <c r="C85" s="72">
        <v>4</v>
      </c>
      <c r="D85" s="77">
        <v>25.161597</v>
      </c>
      <c r="E85" s="77"/>
      <c r="F85" s="67"/>
    </row>
    <row r="86" spans="1:22">
      <c r="A86" s="71">
        <v>5</v>
      </c>
      <c r="B86" s="75" t="s">
        <v>101</v>
      </c>
      <c r="C86" s="72">
        <v>5</v>
      </c>
      <c r="D86" s="77">
        <v>49.124150999999998</v>
      </c>
      <c r="E86" s="77"/>
      <c r="F86" s="67"/>
    </row>
    <row r="87" spans="1:22">
      <c r="A87" s="71">
        <v>6</v>
      </c>
      <c r="B87" s="75" t="s">
        <v>102</v>
      </c>
      <c r="C87" s="72">
        <v>6</v>
      </c>
      <c r="D87" s="77">
        <v>59.906385</v>
      </c>
      <c r="E87" s="77"/>
      <c r="F87" s="67"/>
    </row>
    <row r="88" spans="1:22">
      <c r="A88" s="71" t="s">
        <v>95</v>
      </c>
      <c r="B88" s="78"/>
      <c r="C88" s="72"/>
      <c r="E88" s="61"/>
      <c r="F88" s="61"/>
      <c r="G88" s="72"/>
    </row>
    <row r="89" spans="1:22">
      <c r="A89" s="71">
        <v>1</v>
      </c>
      <c r="B89" s="78" t="s">
        <v>79</v>
      </c>
      <c r="C89" s="79"/>
      <c r="E89" s="61"/>
      <c r="F89" s="61"/>
    </row>
    <row r="90" spans="1:22">
      <c r="A90" s="71">
        <v>2</v>
      </c>
      <c r="B90" s="60" t="s">
        <v>79</v>
      </c>
      <c r="C90" s="80"/>
      <c r="E90" s="61"/>
      <c r="F90" s="61"/>
    </row>
    <row r="91" spans="1:22">
      <c r="A91" s="71">
        <v>3</v>
      </c>
      <c r="B91" s="60" t="s">
        <v>79</v>
      </c>
      <c r="E91" s="61"/>
      <c r="F91" s="61"/>
    </row>
    <row r="92" spans="1:22">
      <c r="A92" s="71">
        <v>4</v>
      </c>
      <c r="B92" s="60" t="s">
        <v>103</v>
      </c>
      <c r="E92" s="61"/>
      <c r="F92" s="61"/>
    </row>
    <row r="93" spans="1:22">
      <c r="A93" s="71">
        <v>5</v>
      </c>
      <c r="B93" s="60" t="s">
        <v>103</v>
      </c>
      <c r="E93" s="61"/>
      <c r="F93" s="61"/>
    </row>
    <row r="94" spans="1:22">
      <c r="A94" s="71">
        <v>6</v>
      </c>
      <c r="B94" s="63" t="s">
        <v>103</v>
      </c>
      <c r="C94" s="63"/>
      <c r="D94" s="63"/>
      <c r="E94" s="64"/>
      <c r="F94" s="64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</row>
    <row r="95" spans="1:22">
      <c r="A95" s="81" t="s">
        <v>92</v>
      </c>
      <c r="B95" s="63"/>
      <c r="C95" s="63"/>
      <c r="D95" s="63"/>
      <c r="E95" s="64"/>
      <c r="F95" s="64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</row>
    <row r="96" spans="1:22">
      <c r="A96" s="71">
        <v>1</v>
      </c>
      <c r="C96" s="76">
        <v>12</v>
      </c>
      <c r="D96" s="63"/>
      <c r="E96" s="64"/>
      <c r="F96" s="64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</row>
    <row r="97" spans="1:22">
      <c r="A97" s="71">
        <v>2</v>
      </c>
      <c r="C97" s="76">
        <v>10</v>
      </c>
      <c r="D97" s="63"/>
      <c r="E97" s="64"/>
      <c r="F97" s="64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</row>
    <row r="98" spans="1:22">
      <c r="A98" s="71">
        <v>3</v>
      </c>
      <c r="C98" s="76">
        <v>8</v>
      </c>
      <c r="D98" s="63"/>
      <c r="E98" s="64"/>
      <c r="F98" s="64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</row>
    <row r="99" spans="1:22">
      <c r="A99" s="71">
        <v>4</v>
      </c>
      <c r="C99" s="76">
        <v>12</v>
      </c>
      <c r="D99" s="63"/>
      <c r="E99" s="64"/>
      <c r="F99" s="64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</row>
    <row r="100" spans="1:22">
      <c r="A100" s="71">
        <v>5</v>
      </c>
      <c r="C100" s="76">
        <v>10</v>
      </c>
      <c r="D100" s="63"/>
      <c r="E100" s="64"/>
      <c r="F100" s="64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</row>
    <row r="101" spans="1:22">
      <c r="A101" s="71">
        <v>6</v>
      </c>
      <c r="C101" s="76">
        <v>8</v>
      </c>
      <c r="D101" s="63"/>
      <c r="E101" s="64"/>
      <c r="F101" s="64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</row>
    <row r="102" spans="1:22">
      <c r="A102" s="71"/>
      <c r="B102" s="63"/>
      <c r="C102" s="63"/>
      <c r="D102" s="63"/>
      <c r="E102" s="64"/>
      <c r="F102" s="64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</row>
    <row r="103" spans="1:22">
      <c r="A103" s="63"/>
      <c r="B103" s="63"/>
      <c r="C103" s="63"/>
      <c r="D103" s="63"/>
      <c r="E103" s="64"/>
      <c r="F103" s="64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</row>
    <row r="104" spans="1:22">
      <c r="A104" s="71" t="s">
        <v>99</v>
      </c>
      <c r="B104" s="78"/>
      <c r="D104" s="72" t="s">
        <v>55</v>
      </c>
      <c r="E104" s="73">
        <v>2</v>
      </c>
      <c r="F104" s="74">
        <f>LOOKUP(E104,A105:A106,D105:D106)</f>
        <v>10.196441999999999</v>
      </c>
    </row>
    <row r="105" spans="1:22">
      <c r="A105" s="71">
        <v>1</v>
      </c>
      <c r="B105" s="75" t="s">
        <v>86</v>
      </c>
      <c r="C105" s="72">
        <v>1</v>
      </c>
      <c r="D105" s="77">
        <v>0</v>
      </c>
      <c r="E105" s="77"/>
      <c r="F105" s="67"/>
    </row>
    <row r="106" spans="1:22">
      <c r="A106" s="71">
        <v>2</v>
      </c>
      <c r="B106" s="75" t="s">
        <v>87</v>
      </c>
      <c r="C106" s="72">
        <v>2</v>
      </c>
      <c r="D106" s="77">
        <v>10.196441999999999</v>
      </c>
      <c r="E106" s="77"/>
      <c r="F106" s="67"/>
    </row>
    <row r="107" spans="1:22">
      <c r="A107" s="71" t="s">
        <v>96</v>
      </c>
      <c r="B107" s="78"/>
      <c r="D107" s="72" t="s">
        <v>55</v>
      </c>
      <c r="E107" s="73">
        <v>1</v>
      </c>
      <c r="F107" s="74">
        <f>LOOKUP(E107,A108:A109,D108:D109)</f>
        <v>0</v>
      </c>
    </row>
    <row r="108" spans="1:22">
      <c r="A108" s="71">
        <v>1</v>
      </c>
      <c r="B108" s="75" t="s">
        <v>88</v>
      </c>
      <c r="C108" s="72">
        <v>1</v>
      </c>
      <c r="D108" s="77">
        <v>0</v>
      </c>
      <c r="E108" s="77"/>
      <c r="F108" s="67"/>
    </row>
    <row r="109" spans="1:22">
      <c r="A109" s="71">
        <v>2</v>
      </c>
      <c r="B109" s="75" t="s">
        <v>91</v>
      </c>
      <c r="C109" s="72">
        <v>3</v>
      </c>
      <c r="D109" s="77">
        <v>33.554898000000001</v>
      </c>
      <c r="E109" s="77"/>
      <c r="F109" s="67"/>
    </row>
    <row r="110" spans="1:22">
      <c r="A110" s="71" t="s">
        <v>97</v>
      </c>
      <c r="B110" s="78"/>
      <c r="D110" s="72" t="s">
        <v>55</v>
      </c>
      <c r="E110" s="73">
        <v>1</v>
      </c>
      <c r="F110" s="74">
        <f>LOOKUP(E110,A111:A112,D111:D112)</f>
        <v>0</v>
      </c>
    </row>
    <row r="111" spans="1:22">
      <c r="A111" s="71">
        <v>1</v>
      </c>
      <c r="B111" s="75" t="s">
        <v>90</v>
      </c>
      <c r="C111" s="82" t="s">
        <v>106</v>
      </c>
      <c r="D111" s="66">
        <v>0</v>
      </c>
      <c r="E111" s="61"/>
      <c r="F111" s="61"/>
    </row>
    <row r="112" spans="1:22">
      <c r="A112" s="71">
        <v>2</v>
      </c>
      <c r="B112" s="75" t="s">
        <v>121</v>
      </c>
      <c r="C112" s="82" t="s">
        <v>107</v>
      </c>
      <c r="D112" s="66">
        <v>0</v>
      </c>
      <c r="E112" s="61"/>
      <c r="F112" s="61"/>
    </row>
    <row r="113" spans="1:22">
      <c r="A113" s="71" t="s">
        <v>98</v>
      </c>
      <c r="B113" s="78"/>
      <c r="D113" s="72" t="s">
        <v>55</v>
      </c>
      <c r="E113" s="73">
        <v>2</v>
      </c>
      <c r="F113" s="74">
        <f>LOOKUP(E113,A114:A117,D114:D117)</f>
        <v>0</v>
      </c>
    </row>
    <row r="114" spans="1:22">
      <c r="A114" s="71">
        <v>0</v>
      </c>
      <c r="B114" s="75" t="s">
        <v>89</v>
      </c>
      <c r="C114" s="72">
        <v>0</v>
      </c>
      <c r="D114" s="77">
        <v>-31.16</v>
      </c>
      <c r="E114" s="77"/>
      <c r="F114" s="67"/>
    </row>
    <row r="115" spans="1:22">
      <c r="A115" s="71">
        <v>1</v>
      </c>
      <c r="B115" s="75" t="s">
        <v>89</v>
      </c>
      <c r="C115" s="72">
        <v>0</v>
      </c>
      <c r="D115" s="77">
        <v>-31.16</v>
      </c>
      <c r="E115" s="77"/>
      <c r="F115" s="67"/>
    </row>
    <row r="116" spans="1:22">
      <c r="A116" s="71">
        <v>2</v>
      </c>
      <c r="B116" s="75" t="s">
        <v>170</v>
      </c>
      <c r="C116" s="72">
        <v>5</v>
      </c>
      <c r="D116" s="77">
        <v>0</v>
      </c>
      <c r="E116" s="77"/>
      <c r="F116" s="67"/>
    </row>
    <row r="117" spans="1:22">
      <c r="A117" s="71">
        <v>3</v>
      </c>
      <c r="B117" s="75" t="s">
        <v>171</v>
      </c>
      <c r="C117" s="72">
        <v>6</v>
      </c>
      <c r="D117" s="77">
        <v>8.393301000000001</v>
      </c>
      <c r="E117" s="77"/>
      <c r="F117" s="67"/>
    </row>
    <row r="118" spans="1:22">
      <c r="D118" s="63" t="s">
        <v>56</v>
      </c>
      <c r="E118" s="61"/>
      <c r="F118" s="74">
        <f>(F75+F81+F104+F107+F110+F113)*1.4*0.6915</f>
        <v>185.01808298399999</v>
      </c>
    </row>
    <row r="119" spans="1:22">
      <c r="E119" s="61"/>
      <c r="F119" s="61"/>
    </row>
    <row r="120" spans="1:22">
      <c r="E120" s="61"/>
      <c r="F120" s="61"/>
    </row>
    <row r="121" spans="1:22">
      <c r="E121" s="61"/>
      <c r="F121" s="61"/>
    </row>
    <row r="122" spans="1:22">
      <c r="A122" s="63"/>
      <c r="B122" s="63"/>
      <c r="C122" s="63"/>
      <c r="E122" s="61"/>
      <c r="F122" s="61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</row>
    <row r="123" spans="1:22">
      <c r="B123" s="83"/>
      <c r="E123" s="73"/>
    </row>
    <row r="124" spans="1:22">
      <c r="B124" s="84"/>
      <c r="D124" s="85"/>
    </row>
    <row r="125" spans="1:22">
      <c r="B125" s="84"/>
      <c r="D125" s="85"/>
    </row>
    <row r="126" spans="1:22">
      <c r="B126" s="83"/>
      <c r="D126" s="85"/>
    </row>
    <row r="127" spans="1:22">
      <c r="B127" s="83"/>
      <c r="D127" s="85"/>
    </row>
    <row r="128" spans="1:22">
      <c r="B128" s="83"/>
      <c r="D128" s="85"/>
    </row>
    <row r="129" spans="2:5">
      <c r="B129" s="83"/>
      <c r="D129" s="85"/>
    </row>
    <row r="130" spans="2:5">
      <c r="B130" s="83"/>
      <c r="D130" s="85"/>
    </row>
    <row r="131" spans="2:5">
      <c r="B131" s="83"/>
      <c r="D131" s="85"/>
    </row>
    <row r="132" spans="2:5">
      <c r="B132" s="83"/>
      <c r="D132" s="85"/>
    </row>
    <row r="133" spans="2:5">
      <c r="B133" s="83"/>
      <c r="D133" s="85"/>
    </row>
    <row r="134" spans="2:5">
      <c r="B134" s="83"/>
      <c r="D134" s="85"/>
    </row>
    <row r="135" spans="2:5">
      <c r="B135" s="83"/>
      <c r="D135" s="85"/>
    </row>
    <row r="136" spans="2:5">
      <c r="B136" s="83"/>
      <c r="D136" s="85"/>
    </row>
    <row r="137" spans="2:5">
      <c r="B137" s="83"/>
      <c r="D137" s="85"/>
    </row>
    <row r="138" spans="2:5">
      <c r="B138" s="83"/>
      <c r="D138" s="85"/>
    </row>
    <row r="139" spans="2:5">
      <c r="B139" s="83"/>
      <c r="D139" s="85"/>
    </row>
    <row r="140" spans="2:5">
      <c r="B140" s="83"/>
      <c r="D140" s="85"/>
    </row>
    <row r="141" spans="2:5">
      <c r="B141" s="83"/>
      <c r="D141" s="85"/>
    </row>
    <row r="142" spans="2:5">
      <c r="B142" s="83"/>
      <c r="E142" s="73"/>
    </row>
    <row r="143" spans="2:5">
      <c r="B143" s="84"/>
      <c r="D143" s="85"/>
    </row>
    <row r="144" spans="2:5">
      <c r="B144" s="84"/>
      <c r="D144" s="85"/>
    </row>
    <row r="145" spans="2:14">
      <c r="B145" s="83"/>
      <c r="D145" s="85"/>
    </row>
    <row r="146" spans="2:14">
      <c r="B146" s="83"/>
      <c r="D146" s="85"/>
    </row>
    <row r="147" spans="2:14">
      <c r="B147" s="83"/>
      <c r="D147" s="85"/>
    </row>
    <row r="148" spans="2:14">
      <c r="B148" s="83"/>
      <c r="D148" s="85"/>
    </row>
    <row r="149" spans="2:14">
      <c r="B149" s="83"/>
      <c r="D149" s="85"/>
    </row>
    <row r="150" spans="2:14">
      <c r="B150" s="83"/>
      <c r="D150" s="85"/>
    </row>
    <row r="151" spans="2:14">
      <c r="B151" s="83"/>
      <c r="D151" s="85"/>
    </row>
    <row r="152" spans="2:14">
      <c r="B152" s="83"/>
      <c r="D152" s="85"/>
    </row>
    <row r="153" spans="2:14">
      <c r="B153" s="83"/>
      <c r="D153" s="85"/>
    </row>
    <row r="154" spans="2:14">
      <c r="B154" s="83"/>
      <c r="D154" s="85"/>
    </row>
    <row r="155" spans="2:14">
      <c r="B155" s="83"/>
      <c r="D155" s="85"/>
    </row>
    <row r="156" spans="2:14">
      <c r="B156" s="83"/>
      <c r="D156" s="85"/>
    </row>
    <row r="157" spans="2:14">
      <c r="B157" s="83"/>
      <c r="D157" s="85"/>
    </row>
    <row r="158" spans="2:14">
      <c r="B158" s="83"/>
      <c r="D158" s="85"/>
    </row>
    <row r="159" spans="2:14">
      <c r="B159" s="83"/>
      <c r="D159" s="85"/>
    </row>
    <row r="160" spans="2:14">
      <c r="B160" s="83"/>
      <c r="D160" s="85"/>
      <c r="J160" s="86"/>
      <c r="K160" s="86"/>
      <c r="L160" s="86"/>
      <c r="M160" s="86"/>
      <c r="N160" s="86"/>
    </row>
    <row r="161" spans="2:33">
      <c r="B161" s="87"/>
      <c r="C161" s="83"/>
      <c r="D161" s="83"/>
      <c r="E161" s="73"/>
      <c r="J161" s="86"/>
      <c r="K161" s="86"/>
      <c r="L161" s="86"/>
      <c r="M161" s="86"/>
      <c r="N161" s="86"/>
    </row>
    <row r="162" spans="2:33">
      <c r="B162" s="88"/>
      <c r="C162" s="89"/>
      <c r="D162" s="85"/>
      <c r="E162" s="85"/>
      <c r="J162" s="88"/>
      <c r="K162" s="88"/>
      <c r="L162" s="88"/>
      <c r="M162" s="88"/>
      <c r="N162" s="88"/>
    </row>
    <row r="163" spans="2:33">
      <c r="B163" s="88"/>
      <c r="C163" s="89"/>
      <c r="D163" s="85"/>
      <c r="E163" s="85"/>
      <c r="J163" s="88"/>
      <c r="K163" s="88"/>
      <c r="L163" s="88"/>
      <c r="M163" s="88"/>
      <c r="N163" s="88"/>
    </row>
    <row r="164" spans="2:33">
      <c r="B164" s="88"/>
      <c r="C164" s="89"/>
      <c r="D164" s="85"/>
      <c r="E164" s="85"/>
      <c r="J164" s="88"/>
      <c r="K164" s="88"/>
      <c r="L164" s="88"/>
      <c r="M164" s="88"/>
      <c r="N164" s="88"/>
    </row>
    <row r="165" spans="2:33">
      <c r="B165" s="88"/>
      <c r="C165" s="89"/>
      <c r="D165" s="85"/>
      <c r="E165" s="85"/>
      <c r="J165" s="88"/>
      <c r="K165" s="88"/>
      <c r="L165" s="88"/>
      <c r="M165" s="88"/>
      <c r="N165" s="88"/>
    </row>
    <row r="166" spans="2:33">
      <c r="B166" s="88"/>
      <c r="C166" s="89"/>
      <c r="D166" s="85"/>
      <c r="E166" s="85"/>
      <c r="J166" s="88"/>
      <c r="K166" s="88"/>
      <c r="L166" s="88"/>
      <c r="M166" s="88"/>
      <c r="N166" s="88"/>
    </row>
    <row r="167" spans="2:33">
      <c r="B167" s="88"/>
      <c r="C167" s="89"/>
      <c r="D167" s="85"/>
      <c r="E167" s="85"/>
      <c r="J167" s="88"/>
      <c r="K167" s="88"/>
      <c r="L167" s="88"/>
      <c r="M167" s="88"/>
      <c r="N167" s="88"/>
    </row>
    <row r="168" spans="2:33">
      <c r="B168" s="88"/>
      <c r="C168" s="89"/>
      <c r="D168" s="85"/>
      <c r="E168" s="85"/>
      <c r="J168" s="88"/>
      <c r="K168" s="88"/>
      <c r="L168" s="88"/>
      <c r="M168" s="88"/>
      <c r="N168" s="88"/>
    </row>
    <row r="169" spans="2:33">
      <c r="D169" s="63"/>
      <c r="E169" s="61"/>
      <c r="F169" s="66"/>
    </row>
    <row r="173" spans="2:33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90">
        <v>4</v>
      </c>
      <c r="W173" s="109"/>
      <c r="X173" s="109"/>
      <c r="Y173" s="109"/>
      <c r="Z173" s="109"/>
      <c r="AA173" s="109"/>
      <c r="AB173" s="109"/>
      <c r="AC173" s="109"/>
      <c r="AD173" s="238"/>
      <c r="AE173" s="238"/>
      <c r="AF173" s="238"/>
      <c r="AG173" s="109"/>
    </row>
    <row r="174" spans="2:33">
      <c r="B174" s="109"/>
      <c r="C174" s="239"/>
      <c r="D174" s="109"/>
      <c r="E174" s="91"/>
      <c r="F174" s="91"/>
      <c r="G174" s="91"/>
      <c r="H174" s="91"/>
      <c r="I174" s="91"/>
      <c r="J174" s="91"/>
      <c r="K174" s="91"/>
      <c r="L174" s="91"/>
      <c r="M174" s="109"/>
      <c r="N174" s="109"/>
      <c r="O174" s="92">
        <v>52.926482329999999</v>
      </c>
      <c r="P174" s="57" t="s">
        <v>238</v>
      </c>
      <c r="Q174" s="109">
        <f>194.18+5+10</f>
        <v>209.18</v>
      </c>
      <c r="R174" s="109">
        <v>0</v>
      </c>
      <c r="S174" s="109">
        <v>1</v>
      </c>
      <c r="T174" s="109">
        <v>1</v>
      </c>
      <c r="U174" s="109">
        <v>0</v>
      </c>
      <c r="V174" s="109" t="s">
        <v>239</v>
      </c>
      <c r="W174" s="109"/>
      <c r="X174" s="109"/>
      <c r="Y174" s="109"/>
      <c r="Z174" s="109"/>
      <c r="AA174" s="109"/>
      <c r="AB174" s="109"/>
      <c r="AC174" s="109"/>
      <c r="AD174" s="90">
        <v>2</v>
      </c>
      <c r="AE174" s="90">
        <v>10</v>
      </c>
      <c r="AF174" s="90">
        <v>4</v>
      </c>
      <c r="AG174" s="109"/>
    </row>
    <row r="175" spans="2:33">
      <c r="B175" s="109"/>
      <c r="C175" s="239"/>
      <c r="D175" s="92">
        <v>0</v>
      </c>
      <c r="E175" s="58" t="s">
        <v>201</v>
      </c>
      <c r="F175" s="109"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/>
      <c r="N175" s="109"/>
      <c r="O175" s="93">
        <v>52.926482329999999</v>
      </c>
      <c r="P175" s="57" t="s">
        <v>237</v>
      </c>
      <c r="Q175" s="94">
        <f>194.18+5</f>
        <v>199.18</v>
      </c>
      <c r="R175" s="109">
        <v>0</v>
      </c>
      <c r="S175" s="109">
        <v>1</v>
      </c>
      <c r="T175" s="109">
        <v>1</v>
      </c>
      <c r="U175" s="109">
        <v>0</v>
      </c>
      <c r="V175" s="109" t="s">
        <v>234</v>
      </c>
      <c r="W175" s="109"/>
      <c r="X175" s="109"/>
      <c r="Y175" s="109"/>
      <c r="Z175" s="109"/>
      <c r="AA175" s="109"/>
      <c r="AB175" s="109"/>
      <c r="AC175" s="109" t="s">
        <v>240</v>
      </c>
      <c r="AD175" s="109" t="s">
        <v>211</v>
      </c>
      <c r="AE175" s="109" t="s">
        <v>212</v>
      </c>
      <c r="AF175" s="109" t="s">
        <v>213</v>
      </c>
      <c r="AG175" s="109" t="s">
        <v>214</v>
      </c>
    </row>
    <row r="176" spans="2:33">
      <c r="B176" s="109"/>
      <c r="C176" s="239"/>
      <c r="D176" s="109">
        <v>1</v>
      </c>
      <c r="E176" s="109">
        <v>10</v>
      </c>
      <c r="F176" s="94">
        <v>24.16</v>
      </c>
      <c r="G176" s="109">
        <v>8</v>
      </c>
      <c r="H176" s="109">
        <v>0</v>
      </c>
      <c r="I176" s="109">
        <v>4</v>
      </c>
      <c r="J176" s="109">
        <v>0</v>
      </c>
      <c r="K176" s="109">
        <v>0</v>
      </c>
      <c r="L176" s="109">
        <v>0</v>
      </c>
      <c r="M176" s="109"/>
      <c r="N176" s="109"/>
      <c r="O176" s="93">
        <v>63</v>
      </c>
      <c r="P176" s="57" t="s">
        <v>262</v>
      </c>
      <c r="Q176" s="94">
        <f>121.25</f>
        <v>121.25</v>
      </c>
      <c r="R176" s="109">
        <v>1</v>
      </c>
      <c r="S176" s="109">
        <v>0</v>
      </c>
      <c r="T176" s="109">
        <v>0</v>
      </c>
      <c r="U176" s="109">
        <v>0</v>
      </c>
      <c r="V176" s="109" t="s">
        <v>215</v>
      </c>
      <c r="W176" s="109"/>
      <c r="X176" s="109"/>
      <c r="Y176" s="109"/>
      <c r="Z176" s="95"/>
      <c r="AA176" s="109"/>
      <c r="AB176" s="109"/>
      <c r="AC176" s="95">
        <f>O179</f>
        <v>63</v>
      </c>
      <c r="AD176" s="109">
        <f>F195</f>
        <v>24.16</v>
      </c>
      <c r="AE176" s="109">
        <f>F196</f>
        <v>24.28</v>
      </c>
      <c r="AF176" s="109">
        <f>Q179</f>
        <v>121.25</v>
      </c>
      <c r="AG176" s="109">
        <f>((AC176+AD176+AE176+AF176)*1.15+82)*1.1+P180</f>
        <v>384.55284999999998</v>
      </c>
    </row>
    <row r="177" spans="2:33">
      <c r="B177" s="109"/>
      <c r="C177" s="239"/>
      <c r="D177" s="109">
        <v>2</v>
      </c>
      <c r="E177" s="109">
        <v>11</v>
      </c>
      <c r="F177" s="94">
        <v>24.16</v>
      </c>
      <c r="G177" s="109">
        <v>8</v>
      </c>
      <c r="H177" s="109">
        <v>0</v>
      </c>
      <c r="I177" s="109">
        <v>2</v>
      </c>
      <c r="J177" s="109">
        <v>0</v>
      </c>
      <c r="K177" s="109">
        <v>2</v>
      </c>
      <c r="L177" s="109">
        <v>0</v>
      </c>
      <c r="M177" s="109"/>
      <c r="N177" s="109"/>
      <c r="O177" s="93">
        <v>63</v>
      </c>
      <c r="P177" s="57" t="s">
        <v>263</v>
      </c>
      <c r="Q177" s="94">
        <f>121.25</f>
        <v>121.25</v>
      </c>
      <c r="R177" s="109">
        <v>1</v>
      </c>
      <c r="S177" s="109">
        <v>1</v>
      </c>
      <c r="T177" s="109">
        <v>1</v>
      </c>
      <c r="U177" s="109">
        <v>0</v>
      </c>
      <c r="V177" s="109" t="s">
        <v>235</v>
      </c>
      <c r="W177" s="109"/>
      <c r="X177" s="109"/>
      <c r="Y177" s="109"/>
      <c r="Z177" s="95"/>
      <c r="AA177" s="109"/>
      <c r="AB177" s="109"/>
      <c r="AC177" s="109"/>
      <c r="AD177" s="109"/>
      <c r="AE177" s="109"/>
      <c r="AF177" s="109"/>
      <c r="AG177" s="109"/>
    </row>
    <row r="178" spans="2:33">
      <c r="B178" s="109"/>
      <c r="C178" s="239"/>
      <c r="D178" s="109">
        <v>3</v>
      </c>
      <c r="E178" s="109">
        <v>13</v>
      </c>
      <c r="F178" s="94">
        <v>27.07</v>
      </c>
      <c r="G178" s="109">
        <v>6</v>
      </c>
      <c r="H178" s="109">
        <v>0</v>
      </c>
      <c r="I178" s="109">
        <v>4</v>
      </c>
      <c r="J178" s="109">
        <v>0</v>
      </c>
      <c r="K178" s="109">
        <v>2</v>
      </c>
      <c r="L178" s="109">
        <v>0</v>
      </c>
      <c r="M178" s="109"/>
      <c r="N178" s="109"/>
      <c r="O178" s="58">
        <v>4</v>
      </c>
      <c r="P178" s="96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</row>
    <row r="179" spans="2:33">
      <c r="B179" s="109"/>
      <c r="C179" s="239"/>
      <c r="D179" s="109">
        <v>4</v>
      </c>
      <c r="E179" s="109">
        <v>20</v>
      </c>
      <c r="F179" s="94">
        <v>24.28</v>
      </c>
      <c r="G179" s="109">
        <v>0</v>
      </c>
      <c r="H179" s="109">
        <v>8</v>
      </c>
      <c r="I179" s="109">
        <v>2</v>
      </c>
      <c r="J179" s="109">
        <v>2</v>
      </c>
      <c r="K179" s="109">
        <v>0</v>
      </c>
      <c r="L179" s="109">
        <v>2</v>
      </c>
      <c r="M179" s="109"/>
      <c r="N179" s="109"/>
      <c r="O179" s="92">
        <f>IF(P179=P174,52.9265,IF(P179=P175,52.9265,63))</f>
        <v>63</v>
      </c>
      <c r="P179" s="92" t="str">
        <f>Q183</f>
        <v>70 - 4</v>
      </c>
      <c r="Q179" s="109">
        <f>VLOOKUP(P179,P174:Q177,2,FALSE)</f>
        <v>121.25</v>
      </c>
      <c r="R179" s="109"/>
      <c r="S179" s="109"/>
      <c r="T179" s="109"/>
      <c r="U179" s="109"/>
      <c r="V179" s="109" t="str">
        <f>VLOOKUP(P179,P174:V177,7,FALSE)</f>
        <v>Дисплей,клавиатура</v>
      </c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</row>
    <row r="180" spans="2:33">
      <c r="B180" s="109"/>
      <c r="C180" s="239"/>
      <c r="D180" s="109">
        <v>5</v>
      </c>
      <c r="E180" s="109">
        <v>21</v>
      </c>
      <c r="F180" s="94">
        <v>22.09</v>
      </c>
      <c r="G180" s="109">
        <v>0</v>
      </c>
      <c r="H180" s="109">
        <v>8</v>
      </c>
      <c r="I180" s="109">
        <v>1</v>
      </c>
      <c r="J180" s="109">
        <v>1</v>
      </c>
      <c r="K180" s="109">
        <v>0</v>
      </c>
      <c r="L180" s="109">
        <v>4</v>
      </c>
      <c r="M180" s="109"/>
      <c r="N180" s="109"/>
      <c r="O180" s="109"/>
      <c r="P180" s="97">
        <f>IF(P179="90 - 4",42,0)</f>
        <v>0</v>
      </c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</row>
    <row r="181" spans="2:33">
      <c r="B181" s="109"/>
      <c r="C181" s="239"/>
      <c r="D181" s="109">
        <v>6</v>
      </c>
      <c r="E181" s="109">
        <v>22</v>
      </c>
      <c r="F181" s="94">
        <v>15.92</v>
      </c>
      <c r="G181" s="109">
        <v>0</v>
      </c>
      <c r="H181" s="109">
        <v>16</v>
      </c>
      <c r="I181" s="109">
        <v>0</v>
      </c>
      <c r="J181" s="109">
        <v>0</v>
      </c>
      <c r="K181" s="109">
        <v>0</v>
      </c>
      <c r="L181" s="109">
        <v>0</v>
      </c>
      <c r="M181" s="109"/>
      <c r="N181" s="109"/>
      <c r="O181" s="109"/>
      <c r="P181" s="95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</row>
    <row r="182" spans="2:33">
      <c r="B182" s="109"/>
      <c r="C182" s="239"/>
      <c r="D182" s="109">
        <v>7</v>
      </c>
      <c r="E182" s="109">
        <v>30</v>
      </c>
      <c r="F182" s="94">
        <v>25.68</v>
      </c>
      <c r="G182" s="109">
        <v>0</v>
      </c>
      <c r="H182" s="109">
        <v>0</v>
      </c>
      <c r="I182" s="109">
        <v>12</v>
      </c>
      <c r="J182" s="109">
        <v>0</v>
      </c>
      <c r="K182" s="109">
        <v>0</v>
      </c>
      <c r="L182" s="109">
        <v>0</v>
      </c>
      <c r="M182" s="109"/>
      <c r="N182" s="109"/>
      <c r="O182" s="60">
        <v>1</v>
      </c>
      <c r="P182" s="97" t="s">
        <v>262</v>
      </c>
      <c r="Q182" s="61">
        <v>1</v>
      </c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</row>
    <row r="183" spans="2:33">
      <c r="B183" s="109"/>
      <c r="C183" s="239"/>
      <c r="D183" s="109">
        <v>8</v>
      </c>
      <c r="E183" s="109">
        <v>33</v>
      </c>
      <c r="F183" s="94">
        <v>27.75</v>
      </c>
      <c r="G183" s="109">
        <v>0</v>
      </c>
      <c r="H183" s="109">
        <v>0</v>
      </c>
      <c r="I183" s="109">
        <v>8</v>
      </c>
      <c r="J183" s="109">
        <v>0</v>
      </c>
      <c r="K183" s="109">
        <v>4</v>
      </c>
      <c r="L183" s="109">
        <v>0</v>
      </c>
      <c r="M183" s="109"/>
      <c r="N183" s="109"/>
      <c r="O183" s="110">
        <v>2</v>
      </c>
      <c r="P183" s="110" t="s">
        <v>263</v>
      </c>
      <c r="Q183" s="109" t="str">
        <f>VLOOKUP(Q182,O182:P183,2,FALSE)</f>
        <v>70 - 4</v>
      </c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</row>
    <row r="184" spans="2:33">
      <c r="B184" s="109"/>
      <c r="C184" s="239"/>
      <c r="D184" s="109">
        <v>9</v>
      </c>
      <c r="E184" s="109">
        <v>34</v>
      </c>
      <c r="F184" s="94">
        <v>31.92</v>
      </c>
      <c r="G184" s="109">
        <v>0</v>
      </c>
      <c r="H184" s="109">
        <v>0</v>
      </c>
      <c r="I184" s="109">
        <v>8</v>
      </c>
      <c r="J184" s="109">
        <v>4</v>
      </c>
      <c r="K184" s="109">
        <v>0</v>
      </c>
      <c r="L184" s="109">
        <v>0</v>
      </c>
      <c r="M184" s="109"/>
      <c r="N184" s="109"/>
      <c r="O184" s="109"/>
      <c r="P184" s="91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</row>
    <row r="185" spans="2:33">
      <c r="B185" s="109"/>
      <c r="C185" s="239"/>
      <c r="D185" s="109"/>
      <c r="E185" s="94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</row>
    <row r="186" spans="2:33">
      <c r="B186" s="109"/>
      <c r="C186" s="239"/>
      <c r="D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</row>
    <row r="187" spans="2:33">
      <c r="B187" s="109"/>
      <c r="C187" s="239"/>
      <c r="D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</row>
    <row r="188" spans="2:33">
      <c r="B188" s="109"/>
      <c r="C188" s="239"/>
      <c r="D188" s="109"/>
      <c r="E188" s="94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</row>
    <row r="189" spans="2:33">
      <c r="B189" s="109"/>
      <c r="C189" s="239"/>
      <c r="D189" s="109"/>
      <c r="E189" s="98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</row>
    <row r="190" spans="2:33">
      <c r="B190" s="109"/>
      <c r="C190" s="239"/>
      <c r="D190" s="109"/>
      <c r="E190" s="94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</row>
    <row r="191" spans="2:33">
      <c r="B191" s="109"/>
      <c r="C191" s="239"/>
      <c r="D191" s="109"/>
      <c r="E191" s="94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</row>
    <row r="192" spans="2:33">
      <c r="B192" s="109"/>
      <c r="C192" s="239"/>
      <c r="D192" s="109"/>
      <c r="E192" s="94"/>
      <c r="F192" s="109"/>
      <c r="G192" s="109"/>
      <c r="H192" s="109"/>
      <c r="I192" s="109"/>
      <c r="J192" s="109"/>
      <c r="K192" s="109"/>
      <c r="L192" s="109"/>
      <c r="M192" s="109"/>
      <c r="N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</row>
    <row r="193" spans="2:33">
      <c r="B193" s="109"/>
      <c r="C193" s="109"/>
      <c r="D193" s="109"/>
      <c r="E193" s="109"/>
      <c r="F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</row>
    <row r="194" spans="2:33">
      <c r="B194" s="109"/>
      <c r="C194" s="109"/>
      <c r="D194" s="109"/>
      <c r="E194" s="91"/>
      <c r="F194" s="91"/>
      <c r="G194" s="91"/>
      <c r="H194" s="91"/>
      <c r="I194" s="91"/>
      <c r="J194" s="91"/>
      <c r="K194" s="91"/>
      <c r="L194" s="91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</row>
    <row r="195" spans="2:33">
      <c r="B195" s="109"/>
      <c r="C195" s="109" t="str">
        <f>SUBSTITUTE(D3,0,0)</f>
        <v/>
      </c>
      <c r="D195" s="108">
        <v>1</v>
      </c>
      <c r="E195" s="109">
        <f>VLOOKUP(D195,D175:E184,2,FALSE)</f>
        <v>10</v>
      </c>
      <c r="F195" s="109">
        <f>VLOOKUP(E195,E175:F184,2,FALSE)</f>
        <v>24.16</v>
      </c>
      <c r="G195" s="109">
        <f>VLOOKUP(E195,E175:G184,3,)</f>
        <v>8</v>
      </c>
      <c r="H195" s="109">
        <f>VLOOKUP(E195,E175:H184,4,)</f>
        <v>0</v>
      </c>
      <c r="I195" s="109">
        <f>VLOOKUP(E195,E175:I184,5,)</f>
        <v>4</v>
      </c>
      <c r="J195" s="109">
        <f>VLOOKUP(E195,E175:J184,6,)</f>
        <v>0</v>
      </c>
      <c r="K195" s="109">
        <f>VLOOKUP(E195,E175:K184,7,)</f>
        <v>0</v>
      </c>
      <c r="L195" s="109">
        <f>VLOOKUP(E195,E175:L184,8,)</f>
        <v>0</v>
      </c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</row>
    <row r="196" spans="2:33">
      <c r="B196" s="109"/>
      <c r="C196" s="109"/>
      <c r="D196" s="108">
        <v>4</v>
      </c>
      <c r="E196" s="109">
        <f>VLOOKUP(D196,D175:E184,2,FALSE)</f>
        <v>20</v>
      </c>
      <c r="F196" s="109">
        <f>VLOOKUP(E196,E175:F185,2,FALSE)</f>
        <v>24.28</v>
      </c>
      <c r="G196" s="109">
        <f>VLOOKUP(E196,E175:G185,3,)</f>
        <v>0</v>
      </c>
      <c r="H196" s="109">
        <f>VLOOKUP(E196,E175:H185,4,)</f>
        <v>8</v>
      </c>
      <c r="I196" s="109">
        <f>VLOOKUP(E196,E175:I185,5,)</f>
        <v>2</v>
      </c>
      <c r="J196" s="109">
        <f>VLOOKUP(E196,E175:J185,6,)</f>
        <v>2</v>
      </c>
      <c r="K196" s="109">
        <f>VLOOKUP(E196,E175:K185,7,)</f>
        <v>0</v>
      </c>
      <c r="L196" s="109">
        <f>VLOOKUP(E196,E175:L185,8,)</f>
        <v>2</v>
      </c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</row>
    <row r="197" spans="2:33">
      <c r="B197" s="109"/>
      <c r="C197" s="109"/>
      <c r="D197" s="109"/>
      <c r="E197" s="109"/>
      <c r="F197" s="109"/>
      <c r="G197" s="109">
        <f>G195+G196</f>
        <v>8</v>
      </c>
      <c r="H197" s="109">
        <f>H195+H196</f>
        <v>8</v>
      </c>
      <c r="I197" s="109">
        <f>I195+I196</f>
        <v>6</v>
      </c>
      <c r="J197" s="109">
        <f>J195+J196</f>
        <v>2</v>
      </c>
      <c r="K197" s="109">
        <f>K196+K195</f>
        <v>0</v>
      </c>
      <c r="L197" s="109">
        <f>L195+L196</f>
        <v>2</v>
      </c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</row>
    <row r="198" spans="2:33"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</row>
    <row r="214" spans="2:32"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</row>
    <row r="215" spans="2:32"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</row>
    <row r="216" spans="2:32"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238"/>
      <c r="AD216" s="238"/>
      <c r="AE216" s="238"/>
      <c r="AF216" s="238"/>
    </row>
    <row r="217" spans="2:32">
      <c r="B217" s="109"/>
      <c r="C217" s="239"/>
      <c r="D217" s="109"/>
      <c r="E217" s="91"/>
      <c r="F217" s="91"/>
      <c r="G217" s="91"/>
      <c r="H217" s="91"/>
      <c r="I217" s="91"/>
      <c r="J217" s="91"/>
      <c r="K217" s="91"/>
      <c r="L217" s="91"/>
      <c r="M217" s="109"/>
      <c r="N217" s="109"/>
      <c r="O217" s="109"/>
      <c r="P217" s="91"/>
      <c r="Q217" s="91"/>
      <c r="R217" s="91"/>
      <c r="S217" s="91"/>
      <c r="T217" s="91"/>
      <c r="U217" s="91"/>
      <c r="V217" s="91"/>
      <c r="W217" s="109"/>
      <c r="X217" s="109"/>
      <c r="Y217" s="109"/>
      <c r="Z217" s="109"/>
      <c r="AA217" s="109"/>
      <c r="AB217" s="109"/>
      <c r="AC217" s="109"/>
      <c r="AD217" s="90">
        <v>1</v>
      </c>
      <c r="AE217" s="90">
        <v>1</v>
      </c>
      <c r="AF217" s="109">
        <f>IF(OR(AND(AD217=1,AE217=1),AND(AD217=1,AE217=5),AND(AD217=1,AE217=6),AND(AD217=4,AE217=5),AND(AD217=4,AE217=6),AND(AD217=8,AE217=7),AND(AD217=8,AE217=8),AND(AD217=7,AE217=7)),1.1,1)</f>
        <v>1.1000000000000001</v>
      </c>
    </row>
    <row r="218" spans="2:32">
      <c r="B218" s="109"/>
      <c r="C218" s="239"/>
      <c r="D218" s="92">
        <v>0</v>
      </c>
      <c r="E218" s="94">
        <v>0</v>
      </c>
      <c r="F218" s="58" t="s">
        <v>201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/>
      <c r="N218" s="109"/>
      <c r="O218" s="109"/>
      <c r="P218" s="94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</row>
    <row r="219" spans="2:32">
      <c r="B219" s="109"/>
      <c r="C219" s="239"/>
      <c r="D219" s="109">
        <v>1</v>
      </c>
      <c r="E219" s="94">
        <v>24.11</v>
      </c>
      <c r="F219" s="109">
        <v>10</v>
      </c>
      <c r="G219" s="109">
        <v>8</v>
      </c>
      <c r="H219" s="109">
        <v>0</v>
      </c>
      <c r="I219" s="109">
        <v>4</v>
      </c>
      <c r="J219" s="109">
        <v>0</v>
      </c>
      <c r="K219" s="109">
        <v>0</v>
      </c>
      <c r="L219" s="109">
        <v>0</v>
      </c>
      <c r="M219" s="109"/>
      <c r="N219" s="109"/>
      <c r="O219" s="109"/>
      <c r="P219" s="94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>
        <v>92.296742170000002</v>
      </c>
      <c r="AD219" s="109">
        <f>VLOOKUP(AD217,D218:E235,2,)</f>
        <v>24.11</v>
      </c>
      <c r="AE219" s="109">
        <f>VLOOKUP(AE217,D218:E235,2,FALSE)</f>
        <v>24.11</v>
      </c>
      <c r="AF219" s="109">
        <f>(AC219+AD219+AE219)*AF217</f>
        <v>154.56841638699998</v>
      </c>
    </row>
    <row r="220" spans="2:32">
      <c r="B220" s="109"/>
      <c r="C220" s="239"/>
      <c r="D220" s="109">
        <v>2</v>
      </c>
      <c r="E220" s="94">
        <v>24.11</v>
      </c>
      <c r="F220" s="109">
        <v>11</v>
      </c>
      <c r="G220" s="109">
        <v>8</v>
      </c>
      <c r="H220" s="109">
        <v>0</v>
      </c>
      <c r="I220" s="109">
        <v>2</v>
      </c>
      <c r="J220" s="109">
        <v>0</v>
      </c>
      <c r="K220" s="109">
        <v>2</v>
      </c>
      <c r="L220" s="109">
        <v>0</v>
      </c>
      <c r="M220" s="109"/>
      <c r="N220" s="109"/>
      <c r="O220" s="109"/>
      <c r="P220" s="94"/>
      <c r="Q220" s="109"/>
      <c r="R220" s="109"/>
      <c r="S220" s="109"/>
      <c r="T220" s="109"/>
      <c r="U220" s="109"/>
      <c r="V220" s="109"/>
      <c r="W220" s="109"/>
      <c r="X220" s="109"/>
      <c r="Y220" s="109"/>
      <c r="Z220" s="94"/>
      <c r="AA220" s="109"/>
      <c r="AB220" s="109"/>
      <c r="AC220" s="109"/>
      <c r="AD220" s="109"/>
      <c r="AE220" s="109"/>
      <c r="AF220" s="109"/>
    </row>
    <row r="221" spans="2:32">
      <c r="B221" s="109"/>
      <c r="C221" s="239"/>
      <c r="D221" s="109">
        <v>3</v>
      </c>
      <c r="E221" s="94">
        <v>27.07</v>
      </c>
      <c r="F221" s="109">
        <v>12</v>
      </c>
      <c r="G221" s="109">
        <v>6</v>
      </c>
      <c r="H221" s="109">
        <v>0</v>
      </c>
      <c r="I221" s="109">
        <v>6</v>
      </c>
      <c r="J221" s="109">
        <v>0</v>
      </c>
      <c r="K221" s="109">
        <v>0</v>
      </c>
      <c r="L221" s="109">
        <v>0</v>
      </c>
      <c r="M221" s="109"/>
      <c r="N221" s="109"/>
      <c r="O221" s="109"/>
      <c r="P221" s="94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</row>
    <row r="222" spans="2:32">
      <c r="B222" s="109"/>
      <c r="C222" s="239"/>
      <c r="D222" s="109">
        <v>4</v>
      </c>
      <c r="E222" s="94">
        <v>27.07</v>
      </c>
      <c r="F222" s="109">
        <v>13</v>
      </c>
      <c r="G222" s="109">
        <v>6</v>
      </c>
      <c r="H222" s="109">
        <v>0</v>
      </c>
      <c r="I222" s="109">
        <v>4</v>
      </c>
      <c r="J222" s="109">
        <v>0</v>
      </c>
      <c r="K222" s="109">
        <v>2</v>
      </c>
      <c r="L222" s="109">
        <v>0</v>
      </c>
      <c r="M222" s="109"/>
      <c r="N222" s="109"/>
      <c r="O222" s="109"/>
      <c r="P222" s="94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</row>
    <row r="223" spans="2:32">
      <c r="B223" s="109"/>
      <c r="C223" s="239"/>
      <c r="D223" s="92">
        <v>5</v>
      </c>
      <c r="E223" s="94">
        <v>24.35</v>
      </c>
      <c r="F223" s="109">
        <v>20</v>
      </c>
      <c r="G223" s="109">
        <v>0</v>
      </c>
      <c r="H223" s="109">
        <v>8</v>
      </c>
      <c r="I223" s="109">
        <v>2</v>
      </c>
      <c r="J223" s="109">
        <v>2</v>
      </c>
      <c r="K223" s="109">
        <v>0</v>
      </c>
      <c r="L223" s="109">
        <v>2</v>
      </c>
      <c r="M223" s="109"/>
      <c r="N223" s="109"/>
      <c r="O223" s="109"/>
      <c r="P223" s="94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</row>
    <row r="224" spans="2:32">
      <c r="B224" s="109"/>
      <c r="C224" s="239"/>
      <c r="D224" s="109">
        <v>6</v>
      </c>
      <c r="E224" s="94">
        <v>22.21</v>
      </c>
      <c r="F224" s="109">
        <v>21</v>
      </c>
      <c r="G224" s="109">
        <v>0</v>
      </c>
      <c r="H224" s="109">
        <v>8</v>
      </c>
      <c r="I224" s="109">
        <v>1</v>
      </c>
      <c r="J224" s="109">
        <v>1</v>
      </c>
      <c r="K224" s="109">
        <v>0</v>
      </c>
      <c r="L224" s="109">
        <v>4</v>
      </c>
      <c r="M224" s="109"/>
      <c r="N224" s="109"/>
      <c r="O224" s="109"/>
      <c r="P224" s="94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</row>
    <row r="225" spans="2:32">
      <c r="B225" s="109"/>
      <c r="C225" s="239"/>
      <c r="D225" s="109">
        <v>7</v>
      </c>
      <c r="E225" s="94">
        <v>15.92</v>
      </c>
      <c r="F225" s="109">
        <v>22</v>
      </c>
      <c r="G225" s="109">
        <v>0</v>
      </c>
      <c r="H225" s="109">
        <v>16</v>
      </c>
      <c r="I225" s="109">
        <v>0</v>
      </c>
      <c r="J225" s="109">
        <v>0</v>
      </c>
      <c r="K225" s="109">
        <v>0</v>
      </c>
      <c r="L225" s="109">
        <v>0</v>
      </c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</row>
    <row r="226" spans="2:32">
      <c r="B226" s="109"/>
      <c r="C226" s="239"/>
      <c r="D226" s="109">
        <v>8</v>
      </c>
      <c r="E226" s="94">
        <v>25.88</v>
      </c>
      <c r="F226" s="109">
        <v>30</v>
      </c>
      <c r="G226" s="109">
        <v>0</v>
      </c>
      <c r="H226" s="109">
        <v>0</v>
      </c>
      <c r="I226" s="109">
        <v>12</v>
      </c>
      <c r="J226" s="109">
        <v>0</v>
      </c>
      <c r="K226" s="109">
        <v>0</v>
      </c>
      <c r="L226" s="109">
        <v>0</v>
      </c>
      <c r="M226" s="109"/>
      <c r="N226" s="109"/>
      <c r="O226" s="238"/>
      <c r="P226" s="238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</row>
    <row r="227" spans="2:32">
      <c r="B227" s="109"/>
      <c r="C227" s="239"/>
      <c r="D227" s="109">
        <v>9</v>
      </c>
      <c r="E227" s="94">
        <v>26.85</v>
      </c>
      <c r="F227" s="109">
        <v>31</v>
      </c>
      <c r="G227" s="109">
        <v>0</v>
      </c>
      <c r="H227" s="109">
        <v>0</v>
      </c>
      <c r="I227" s="109">
        <v>10</v>
      </c>
      <c r="J227" s="109">
        <v>0</v>
      </c>
      <c r="K227" s="109">
        <v>2</v>
      </c>
      <c r="L227" s="109">
        <v>0</v>
      </c>
      <c r="M227" s="109"/>
      <c r="N227" s="109"/>
      <c r="O227" s="109"/>
      <c r="P227" s="91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</row>
    <row r="228" spans="2:32">
      <c r="B228" s="109"/>
      <c r="C228" s="239"/>
      <c r="D228" s="92">
        <v>10</v>
      </c>
      <c r="E228" s="94">
        <v>28.92</v>
      </c>
      <c r="F228" s="109">
        <v>32</v>
      </c>
      <c r="G228" s="109">
        <v>0</v>
      </c>
      <c r="H228" s="109">
        <v>0</v>
      </c>
      <c r="I228" s="109">
        <v>10</v>
      </c>
      <c r="J228" s="109">
        <v>2</v>
      </c>
      <c r="K228" s="109">
        <v>0</v>
      </c>
      <c r="L228" s="109">
        <v>0</v>
      </c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</row>
    <row r="229" spans="2:32">
      <c r="B229" s="109"/>
      <c r="C229" s="239"/>
      <c r="D229" s="109">
        <v>11</v>
      </c>
      <c r="E229" s="94">
        <v>28.85</v>
      </c>
      <c r="F229" s="109">
        <v>33</v>
      </c>
      <c r="G229" s="109">
        <v>0</v>
      </c>
      <c r="H229" s="109">
        <v>0</v>
      </c>
      <c r="I229" s="109">
        <v>8</v>
      </c>
      <c r="J229" s="109">
        <v>0</v>
      </c>
      <c r="K229" s="109">
        <v>4</v>
      </c>
      <c r="L229" s="109">
        <v>0</v>
      </c>
      <c r="M229" s="109"/>
      <c r="N229" s="109"/>
      <c r="O229" s="109"/>
      <c r="P229" s="109"/>
      <c r="Q229" s="109"/>
      <c r="R229" s="109"/>
      <c r="S229" s="92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</row>
    <row r="230" spans="2:32">
      <c r="B230" s="109"/>
      <c r="C230" s="239"/>
      <c r="D230" s="109">
        <v>12</v>
      </c>
      <c r="E230" s="94">
        <v>33.17</v>
      </c>
      <c r="F230" s="109">
        <v>34</v>
      </c>
      <c r="G230" s="109">
        <v>0</v>
      </c>
      <c r="H230" s="109">
        <v>0</v>
      </c>
      <c r="I230" s="109">
        <v>8</v>
      </c>
      <c r="J230" s="109">
        <v>4</v>
      </c>
      <c r="K230" s="109">
        <v>0</v>
      </c>
      <c r="L230" s="109">
        <v>0</v>
      </c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</row>
    <row r="231" spans="2:32">
      <c r="B231" s="109"/>
      <c r="C231" s="239"/>
      <c r="D231" s="109">
        <v>13</v>
      </c>
      <c r="E231" s="94">
        <v>35.46</v>
      </c>
      <c r="F231" s="109">
        <v>35</v>
      </c>
      <c r="G231" s="109">
        <v>0</v>
      </c>
      <c r="H231" s="109">
        <v>0</v>
      </c>
      <c r="I231" s="109">
        <v>4</v>
      </c>
      <c r="J231" s="109">
        <v>4</v>
      </c>
      <c r="K231" s="109">
        <v>4</v>
      </c>
      <c r="L231" s="109">
        <v>0</v>
      </c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</row>
    <row r="232" spans="2:32">
      <c r="B232" s="109"/>
      <c r="C232" s="239"/>
      <c r="D232" s="109">
        <v>14</v>
      </c>
      <c r="E232" s="94">
        <v>34.58</v>
      </c>
      <c r="F232" s="109">
        <v>36</v>
      </c>
      <c r="G232" s="109">
        <v>0</v>
      </c>
      <c r="H232" s="109">
        <v>0</v>
      </c>
      <c r="I232" s="109">
        <v>6</v>
      </c>
      <c r="J232" s="109">
        <v>6</v>
      </c>
      <c r="K232" s="109">
        <v>0</v>
      </c>
      <c r="L232" s="109">
        <v>0</v>
      </c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</row>
    <row r="233" spans="2:32">
      <c r="B233" s="109"/>
      <c r="C233" s="239"/>
      <c r="D233" s="92">
        <v>15</v>
      </c>
      <c r="E233" s="94">
        <v>37.770000000000003</v>
      </c>
      <c r="F233" s="109">
        <v>37</v>
      </c>
      <c r="G233" s="109">
        <v>0</v>
      </c>
      <c r="H233" s="109">
        <v>0</v>
      </c>
      <c r="I233" s="109">
        <v>2</v>
      </c>
      <c r="J233" s="109">
        <v>6</v>
      </c>
      <c r="K233" s="109">
        <v>4</v>
      </c>
      <c r="L233" s="109">
        <v>0</v>
      </c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</row>
    <row r="234" spans="2:32">
      <c r="B234" s="109"/>
      <c r="C234" s="239"/>
      <c r="D234" s="109">
        <v>16</v>
      </c>
      <c r="E234" s="109">
        <v>0</v>
      </c>
      <c r="F234" s="109">
        <v>14</v>
      </c>
      <c r="G234" s="109">
        <v>6</v>
      </c>
      <c r="H234" s="109">
        <v>0</v>
      </c>
      <c r="I234" s="109">
        <v>4</v>
      </c>
      <c r="J234" s="109">
        <v>2</v>
      </c>
      <c r="K234" s="109">
        <v>0</v>
      </c>
      <c r="L234" s="109">
        <v>0</v>
      </c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</row>
    <row r="235" spans="2:32">
      <c r="B235" s="109"/>
      <c r="C235" s="239"/>
      <c r="D235" s="109">
        <v>17</v>
      </c>
      <c r="E235" s="109">
        <v>0</v>
      </c>
      <c r="F235" s="109">
        <v>15</v>
      </c>
      <c r="G235" s="109">
        <v>6</v>
      </c>
      <c r="H235" s="109">
        <v>0</v>
      </c>
      <c r="I235" s="109">
        <v>2</v>
      </c>
      <c r="J235" s="109">
        <v>2</v>
      </c>
      <c r="K235" s="109">
        <v>2</v>
      </c>
      <c r="L235" s="109">
        <v>0</v>
      </c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</row>
    <row r="236" spans="2:32">
      <c r="B236" s="109"/>
      <c r="C236" s="109"/>
      <c r="D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</row>
    <row r="237" spans="2:32">
      <c r="B237" s="109"/>
      <c r="C237" s="109"/>
      <c r="D237" s="109"/>
      <c r="E237" s="91" t="s">
        <v>221</v>
      </c>
      <c r="F237" s="91" t="s">
        <v>222</v>
      </c>
      <c r="G237" s="91" t="s">
        <v>223</v>
      </c>
      <c r="H237" s="91" t="s">
        <v>224</v>
      </c>
      <c r="I237" s="91" t="s">
        <v>225</v>
      </c>
      <c r="J237" s="91" t="s">
        <v>226</v>
      </c>
      <c r="K237" s="91" t="s">
        <v>227</v>
      </c>
      <c r="L237" s="91" t="s">
        <v>228</v>
      </c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</row>
    <row r="238" spans="2:32">
      <c r="B238" s="109"/>
      <c r="C238" s="109"/>
      <c r="D238" s="109">
        <f>AD217</f>
        <v>1</v>
      </c>
      <c r="E238" s="109">
        <f>VLOOKUP(D238,D218:L235,2,FALSE)</f>
        <v>24.11</v>
      </c>
      <c r="F238" s="109">
        <f>VLOOKUP(D238,D218:L235,3,FALSE)</f>
        <v>10</v>
      </c>
      <c r="G238" s="109">
        <f>VLOOKUP(D238,D218:L235,4,FALSE)</f>
        <v>8</v>
      </c>
      <c r="H238" s="109">
        <f>VLOOKUP(D238,D218:L235,5,FALSE)</f>
        <v>0</v>
      </c>
      <c r="I238" s="109">
        <f>VLOOKUP(D238,D218:L235,6,FALSE)</f>
        <v>4</v>
      </c>
      <c r="J238" s="109">
        <f>VLOOKUP(D238,D218:L235,7,FALSE)</f>
        <v>0</v>
      </c>
      <c r="K238" s="109">
        <f>VLOOKUP(D238,D218:L235,8,FALSE)</f>
        <v>0</v>
      </c>
      <c r="L238" s="109">
        <f>VLOOKUP(D238,D218:L235,9,FALSE)</f>
        <v>0</v>
      </c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</row>
    <row r="239" spans="2:32">
      <c r="B239" s="109"/>
      <c r="C239" s="109"/>
      <c r="D239" s="109">
        <f>AE217</f>
        <v>1</v>
      </c>
      <c r="E239" s="109">
        <f>VLOOKUP(D239,D218:L235,2,FALSE)</f>
        <v>24.11</v>
      </c>
      <c r="F239" s="109">
        <f>VLOOKUP(D239,D218:L235,3,FALSE)</f>
        <v>10</v>
      </c>
      <c r="G239" s="109">
        <f>VLOOKUP(D239,D218:L235,4,FALSE)</f>
        <v>8</v>
      </c>
      <c r="H239" s="109">
        <f>VLOOKUP(D239,D218:L235,5,FALSE)</f>
        <v>0</v>
      </c>
      <c r="I239" s="109">
        <f>VLOOKUP(D239,D218:L235,6,FALSE)</f>
        <v>4</v>
      </c>
      <c r="J239" s="109">
        <f>VLOOKUP(D239,D218:L235,7,FALSE)</f>
        <v>0</v>
      </c>
      <c r="K239" s="109">
        <f>VLOOKUP(D239,D218:L235,8,FALSE)</f>
        <v>0</v>
      </c>
      <c r="L239" s="109">
        <f>VLOOKUP(D239,D218:L235,9,FALSE)</f>
        <v>0</v>
      </c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</row>
    <row r="240" spans="2:32">
      <c r="B240" s="109"/>
      <c r="C240" s="109"/>
      <c r="D240" s="109"/>
      <c r="E240" s="109"/>
      <c r="F240" s="109"/>
      <c r="G240" s="109">
        <f>G238+G239</f>
        <v>16</v>
      </c>
      <c r="H240" s="109">
        <f>H238+H239</f>
        <v>0</v>
      </c>
      <c r="I240" s="109">
        <f>I238+I239</f>
        <v>8</v>
      </c>
      <c r="J240" s="109">
        <f>J238+J239</f>
        <v>0</v>
      </c>
      <c r="K240" s="109">
        <f>K239+K238</f>
        <v>0</v>
      </c>
      <c r="L240" s="109">
        <f>L238+L239</f>
        <v>0</v>
      </c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</row>
    <row r="241" spans="2:32"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</row>
    <row r="242" spans="2:32"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</row>
    <row r="243" spans="2:32"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</row>
    <row r="244" spans="2:32">
      <c r="B244" s="109"/>
      <c r="C244" s="109"/>
      <c r="D244" s="109"/>
      <c r="E244" s="94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</row>
    <row r="247" spans="2:32"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</row>
    <row r="248" spans="2:32"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</row>
    <row r="249" spans="2:32"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238"/>
      <c r="AD249" s="238"/>
      <c r="AE249" s="238"/>
      <c r="AF249" s="238"/>
    </row>
    <row r="250" spans="2:32">
      <c r="B250" s="109"/>
      <c r="C250" s="239"/>
      <c r="D250" s="109"/>
      <c r="E250" s="91"/>
      <c r="F250" s="91"/>
      <c r="G250" s="91"/>
      <c r="H250" s="91"/>
      <c r="I250" s="91"/>
      <c r="J250" s="91"/>
      <c r="K250" s="91"/>
      <c r="L250" s="91"/>
      <c r="M250" s="109"/>
      <c r="N250" s="109"/>
      <c r="O250" s="109"/>
      <c r="P250" s="91"/>
      <c r="Q250" s="91"/>
      <c r="R250" s="91"/>
      <c r="S250" s="91"/>
      <c r="T250" s="91"/>
      <c r="U250" s="91"/>
      <c r="V250" s="91"/>
      <c r="W250" s="109"/>
      <c r="X250" s="109"/>
      <c r="Y250" s="109"/>
      <c r="Z250" s="109"/>
      <c r="AA250" s="109"/>
      <c r="AB250" s="109"/>
      <c r="AC250" s="109"/>
      <c r="AD250" s="90">
        <v>7</v>
      </c>
      <c r="AE250" s="90">
        <v>0</v>
      </c>
      <c r="AF250" s="109"/>
    </row>
    <row r="251" spans="2:32">
      <c r="B251" s="109"/>
      <c r="C251" s="239"/>
      <c r="D251" s="92">
        <v>0</v>
      </c>
      <c r="E251" s="94">
        <v>0</v>
      </c>
      <c r="F251" s="58" t="s">
        <v>201</v>
      </c>
      <c r="G251" s="109">
        <v>0</v>
      </c>
      <c r="H251" s="109">
        <v>0</v>
      </c>
      <c r="I251" s="109">
        <v>0</v>
      </c>
      <c r="J251" s="109">
        <v>0</v>
      </c>
      <c r="K251" s="109">
        <v>0</v>
      </c>
      <c r="L251" s="109">
        <v>0</v>
      </c>
      <c r="M251" s="109"/>
      <c r="N251" s="92">
        <v>0</v>
      </c>
      <c r="O251" s="94">
        <v>0</v>
      </c>
      <c r="P251" s="58" t="s">
        <v>201</v>
      </c>
      <c r="Q251" s="109">
        <v>0</v>
      </c>
      <c r="R251" s="109">
        <v>0</v>
      </c>
      <c r="S251" s="109">
        <v>0</v>
      </c>
      <c r="T251" s="109">
        <v>0</v>
      </c>
      <c r="U251" s="109">
        <v>0</v>
      </c>
      <c r="V251" s="109">
        <v>0</v>
      </c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</row>
    <row r="252" spans="2:32">
      <c r="B252" s="109"/>
      <c r="C252" s="239"/>
      <c r="D252" s="109">
        <v>1</v>
      </c>
      <c r="E252" s="94">
        <v>24.11</v>
      </c>
      <c r="F252" s="109">
        <v>10</v>
      </c>
      <c r="G252" s="109">
        <v>8</v>
      </c>
      <c r="H252" s="109">
        <v>0</v>
      </c>
      <c r="I252" s="109">
        <v>4</v>
      </c>
      <c r="J252" s="109">
        <v>0</v>
      </c>
      <c r="K252" s="109">
        <v>0</v>
      </c>
      <c r="L252" s="109">
        <v>0</v>
      </c>
      <c r="M252" s="109"/>
      <c r="N252" s="109">
        <v>1</v>
      </c>
      <c r="O252" s="94">
        <v>24.11</v>
      </c>
      <c r="P252" s="109">
        <v>10</v>
      </c>
      <c r="Q252" s="109">
        <v>8</v>
      </c>
      <c r="R252" s="109">
        <v>0</v>
      </c>
      <c r="S252" s="109">
        <v>4</v>
      </c>
      <c r="T252" s="109">
        <v>0</v>
      </c>
      <c r="U252" s="109">
        <v>0</v>
      </c>
      <c r="V252" s="109">
        <v>0</v>
      </c>
      <c r="W252" s="109"/>
      <c r="X252" s="109"/>
      <c r="Y252" s="109"/>
      <c r="Z252" s="109"/>
      <c r="AA252" s="109"/>
      <c r="AB252" s="109"/>
      <c r="AC252" s="109">
        <v>34.885204000000002</v>
      </c>
      <c r="AD252" s="109">
        <f>VLOOKUP(AD250,D251:E268,2,)</f>
        <v>25.88</v>
      </c>
      <c r="AE252" s="109">
        <v>0</v>
      </c>
      <c r="AF252" s="95">
        <f>(AC252+AD252)*1.05*1.25*1.3*0.85</f>
        <v>88.128534926249998</v>
      </c>
    </row>
    <row r="253" spans="2:32">
      <c r="B253" s="109"/>
      <c r="C253" s="239"/>
      <c r="D253" s="109">
        <v>2</v>
      </c>
      <c r="E253" s="94">
        <v>24.11</v>
      </c>
      <c r="F253" s="109">
        <v>11</v>
      </c>
      <c r="G253" s="109">
        <v>8</v>
      </c>
      <c r="H253" s="109">
        <v>0</v>
      </c>
      <c r="I253" s="109">
        <v>2</v>
      </c>
      <c r="J253" s="109">
        <v>0</v>
      </c>
      <c r="K253" s="109">
        <v>2</v>
      </c>
      <c r="L253" s="109">
        <v>0</v>
      </c>
      <c r="M253" s="109"/>
      <c r="N253" s="109">
        <v>2</v>
      </c>
      <c r="O253" s="94">
        <v>24.11</v>
      </c>
      <c r="P253" s="109">
        <v>11</v>
      </c>
      <c r="Q253" s="109">
        <v>8</v>
      </c>
      <c r="R253" s="109">
        <v>0</v>
      </c>
      <c r="S253" s="109">
        <v>2</v>
      </c>
      <c r="T253" s="109">
        <v>0</v>
      </c>
      <c r="U253" s="109">
        <v>2</v>
      </c>
      <c r="V253" s="109">
        <v>0</v>
      </c>
      <c r="W253" s="109"/>
      <c r="X253" s="109"/>
      <c r="Y253" s="109"/>
      <c r="Z253" s="94"/>
      <c r="AA253" s="109"/>
      <c r="AB253" s="109"/>
      <c r="AC253" s="109"/>
      <c r="AD253" s="109"/>
      <c r="AE253" s="109"/>
      <c r="AF253" s="109"/>
    </row>
    <row r="254" spans="2:32">
      <c r="B254" s="109"/>
      <c r="C254" s="239"/>
      <c r="D254" s="109">
        <v>3</v>
      </c>
      <c r="E254" s="94">
        <v>27.07</v>
      </c>
      <c r="F254" s="109">
        <v>13</v>
      </c>
      <c r="G254" s="109">
        <v>6</v>
      </c>
      <c r="H254" s="109">
        <v>0</v>
      </c>
      <c r="I254" s="109">
        <v>4</v>
      </c>
      <c r="J254" s="109">
        <v>0</v>
      </c>
      <c r="K254" s="109">
        <v>2</v>
      </c>
      <c r="L254" s="109">
        <v>0</v>
      </c>
      <c r="M254" s="109"/>
      <c r="N254" s="109">
        <v>3</v>
      </c>
      <c r="O254" s="94">
        <v>27.07</v>
      </c>
      <c r="P254" s="109">
        <v>12</v>
      </c>
      <c r="Q254" s="109">
        <v>6</v>
      </c>
      <c r="R254" s="109">
        <v>0</v>
      </c>
      <c r="S254" s="109">
        <v>6</v>
      </c>
      <c r="T254" s="109">
        <v>0</v>
      </c>
      <c r="U254" s="109">
        <v>0</v>
      </c>
      <c r="V254" s="109">
        <v>0</v>
      </c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</row>
    <row r="255" spans="2:32">
      <c r="B255" s="109"/>
      <c r="C255" s="239"/>
      <c r="D255" s="109">
        <v>4</v>
      </c>
      <c r="E255" s="94">
        <v>24.35</v>
      </c>
      <c r="F255" s="109">
        <v>20</v>
      </c>
      <c r="G255" s="109">
        <v>0</v>
      </c>
      <c r="H255" s="109">
        <v>8</v>
      </c>
      <c r="I255" s="109">
        <v>2</v>
      </c>
      <c r="J255" s="109">
        <v>2</v>
      </c>
      <c r="K255" s="109">
        <v>0</v>
      </c>
      <c r="L255" s="109">
        <v>2</v>
      </c>
      <c r="M255" s="109"/>
      <c r="N255" s="109">
        <v>4</v>
      </c>
      <c r="O255" s="94">
        <v>27.07</v>
      </c>
      <c r="P255" s="109">
        <v>13</v>
      </c>
      <c r="Q255" s="109">
        <v>6</v>
      </c>
      <c r="R255" s="109">
        <v>0</v>
      </c>
      <c r="S255" s="109">
        <v>4</v>
      </c>
      <c r="T255" s="109">
        <v>0</v>
      </c>
      <c r="U255" s="109">
        <v>2</v>
      </c>
      <c r="V255" s="109">
        <v>0</v>
      </c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</row>
    <row r="256" spans="2:32">
      <c r="B256" s="109"/>
      <c r="C256" s="239"/>
      <c r="D256" s="92">
        <v>5</v>
      </c>
      <c r="E256" s="94">
        <v>22.21</v>
      </c>
      <c r="F256" s="109">
        <v>21</v>
      </c>
      <c r="G256" s="109">
        <v>0</v>
      </c>
      <c r="H256" s="109">
        <v>8</v>
      </c>
      <c r="I256" s="109">
        <v>1</v>
      </c>
      <c r="J256" s="109">
        <v>1</v>
      </c>
      <c r="K256" s="109">
        <v>0</v>
      </c>
      <c r="L256" s="109">
        <v>4</v>
      </c>
      <c r="M256" s="109"/>
      <c r="N256" s="92">
        <v>5</v>
      </c>
      <c r="O256" s="94">
        <v>24.35</v>
      </c>
      <c r="P256" s="109">
        <v>20</v>
      </c>
      <c r="Q256" s="109">
        <v>0</v>
      </c>
      <c r="R256" s="109">
        <v>8</v>
      </c>
      <c r="S256" s="109">
        <v>2</v>
      </c>
      <c r="T256" s="109">
        <v>2</v>
      </c>
      <c r="U256" s="109">
        <v>0</v>
      </c>
      <c r="V256" s="109">
        <v>2</v>
      </c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</row>
    <row r="257" spans="2:32">
      <c r="B257" s="109"/>
      <c r="C257" s="239"/>
      <c r="D257" s="109">
        <v>6</v>
      </c>
      <c r="E257" s="94">
        <v>15.92</v>
      </c>
      <c r="F257" s="109">
        <v>22</v>
      </c>
      <c r="G257" s="109">
        <v>0</v>
      </c>
      <c r="H257" s="109">
        <v>16</v>
      </c>
      <c r="I257" s="109">
        <v>0</v>
      </c>
      <c r="J257" s="109">
        <v>0</v>
      </c>
      <c r="K257" s="109">
        <v>0</v>
      </c>
      <c r="L257" s="109">
        <v>0</v>
      </c>
      <c r="M257" s="109"/>
      <c r="N257" s="109">
        <v>6</v>
      </c>
      <c r="O257" s="94">
        <v>22.21</v>
      </c>
      <c r="P257" s="109">
        <v>21</v>
      </c>
      <c r="Q257" s="109">
        <v>0</v>
      </c>
      <c r="R257" s="109">
        <v>8</v>
      </c>
      <c r="S257" s="109">
        <v>1</v>
      </c>
      <c r="T257" s="109">
        <v>1</v>
      </c>
      <c r="U257" s="109">
        <v>0</v>
      </c>
      <c r="V257" s="109">
        <v>4</v>
      </c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</row>
    <row r="258" spans="2:32">
      <c r="B258" s="109"/>
      <c r="C258" s="239"/>
      <c r="D258" s="109">
        <v>7</v>
      </c>
      <c r="E258" s="94">
        <v>25.88</v>
      </c>
      <c r="F258" s="109">
        <v>30</v>
      </c>
      <c r="G258" s="109">
        <v>0</v>
      </c>
      <c r="H258" s="109">
        <v>0</v>
      </c>
      <c r="I258" s="109">
        <v>12</v>
      </c>
      <c r="J258" s="109">
        <v>0</v>
      </c>
      <c r="K258" s="109">
        <v>0</v>
      </c>
      <c r="L258" s="109">
        <v>0</v>
      </c>
      <c r="M258" s="109"/>
      <c r="N258" s="109">
        <v>7</v>
      </c>
      <c r="O258" s="94">
        <v>15.92</v>
      </c>
      <c r="P258" s="109">
        <v>22</v>
      </c>
      <c r="Q258" s="109">
        <v>0</v>
      </c>
      <c r="R258" s="109">
        <v>16</v>
      </c>
      <c r="S258" s="109">
        <v>0</v>
      </c>
      <c r="T258" s="109">
        <v>0</v>
      </c>
      <c r="U258" s="109">
        <v>0</v>
      </c>
      <c r="V258" s="109">
        <v>0</v>
      </c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</row>
    <row r="259" spans="2:32">
      <c r="B259" s="109"/>
      <c r="C259" s="239"/>
      <c r="D259" s="109">
        <v>8</v>
      </c>
      <c r="E259" s="94">
        <v>28.85</v>
      </c>
      <c r="F259" s="109">
        <v>33</v>
      </c>
      <c r="G259" s="109">
        <v>0</v>
      </c>
      <c r="H259" s="109">
        <v>0</v>
      </c>
      <c r="I259" s="109">
        <v>8</v>
      </c>
      <c r="J259" s="109">
        <v>0</v>
      </c>
      <c r="K259" s="109">
        <v>4</v>
      </c>
      <c r="L259" s="109">
        <v>0</v>
      </c>
      <c r="M259" s="109"/>
      <c r="N259" s="109">
        <v>8</v>
      </c>
      <c r="O259" s="94">
        <v>25.88</v>
      </c>
      <c r="P259" s="109">
        <v>30</v>
      </c>
      <c r="Q259" s="109">
        <v>0</v>
      </c>
      <c r="R259" s="109">
        <v>0</v>
      </c>
      <c r="S259" s="109">
        <v>12</v>
      </c>
      <c r="T259" s="109">
        <v>0</v>
      </c>
      <c r="U259" s="109">
        <v>0</v>
      </c>
      <c r="V259" s="109">
        <v>0</v>
      </c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</row>
    <row r="260" spans="2:32">
      <c r="B260" s="109"/>
      <c r="C260" s="239"/>
      <c r="D260" s="109">
        <v>9</v>
      </c>
      <c r="E260" s="94">
        <v>33.17</v>
      </c>
      <c r="F260" s="109">
        <v>34</v>
      </c>
      <c r="G260" s="109">
        <v>0</v>
      </c>
      <c r="H260" s="109">
        <v>0</v>
      </c>
      <c r="I260" s="109">
        <v>8</v>
      </c>
      <c r="J260" s="109">
        <v>4</v>
      </c>
      <c r="K260" s="109">
        <v>0</v>
      </c>
      <c r="L260" s="109">
        <v>0</v>
      </c>
      <c r="M260" s="109"/>
      <c r="N260" s="109">
        <v>9</v>
      </c>
      <c r="O260" s="94">
        <v>26.85</v>
      </c>
      <c r="P260" s="109">
        <v>31</v>
      </c>
      <c r="Q260" s="109">
        <v>0</v>
      </c>
      <c r="R260" s="109">
        <v>0</v>
      </c>
      <c r="S260" s="109">
        <v>10</v>
      </c>
      <c r="T260" s="109">
        <v>0</v>
      </c>
      <c r="U260" s="109">
        <v>2</v>
      </c>
      <c r="V260" s="109">
        <v>0</v>
      </c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</row>
    <row r="261" spans="2:32">
      <c r="B261" s="109"/>
      <c r="C261" s="239"/>
      <c r="D261" s="92">
        <v>10</v>
      </c>
      <c r="E261" s="94">
        <v>27.07</v>
      </c>
      <c r="F261" s="109">
        <v>12</v>
      </c>
      <c r="G261" s="109">
        <v>6</v>
      </c>
      <c r="H261" s="109">
        <v>0</v>
      </c>
      <c r="I261" s="109">
        <v>6</v>
      </c>
      <c r="J261" s="109">
        <v>0</v>
      </c>
      <c r="K261" s="109">
        <v>0</v>
      </c>
      <c r="L261" s="109">
        <v>0</v>
      </c>
      <c r="M261" s="109"/>
      <c r="N261" s="92">
        <v>10</v>
      </c>
      <c r="O261" s="94">
        <v>28.92</v>
      </c>
      <c r="P261" s="109">
        <v>32</v>
      </c>
      <c r="Q261" s="109">
        <v>0</v>
      </c>
      <c r="R261" s="109">
        <v>0</v>
      </c>
      <c r="S261" s="109">
        <v>10</v>
      </c>
      <c r="T261" s="109">
        <v>2</v>
      </c>
      <c r="U261" s="109">
        <v>0</v>
      </c>
      <c r="V261" s="109">
        <v>0</v>
      </c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</row>
    <row r="262" spans="2:32">
      <c r="B262" s="109"/>
      <c r="C262" s="239"/>
      <c r="D262" s="109">
        <v>11</v>
      </c>
      <c r="E262" s="94">
        <v>26.85</v>
      </c>
      <c r="F262" s="109">
        <v>31</v>
      </c>
      <c r="G262" s="109">
        <v>0</v>
      </c>
      <c r="H262" s="109">
        <v>0</v>
      </c>
      <c r="I262" s="109">
        <v>10</v>
      </c>
      <c r="J262" s="109">
        <v>0</v>
      </c>
      <c r="K262" s="109">
        <v>2</v>
      </c>
      <c r="L262" s="109">
        <v>0</v>
      </c>
      <c r="M262" s="109"/>
      <c r="N262" s="109">
        <v>11</v>
      </c>
      <c r="O262" s="94">
        <v>28.85</v>
      </c>
      <c r="P262" s="109">
        <v>33</v>
      </c>
      <c r="Q262" s="109">
        <v>0</v>
      </c>
      <c r="R262" s="109">
        <v>0</v>
      </c>
      <c r="S262" s="109">
        <v>8</v>
      </c>
      <c r="T262" s="109">
        <v>0</v>
      </c>
      <c r="U262" s="109">
        <v>4</v>
      </c>
      <c r="V262" s="109">
        <v>0</v>
      </c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</row>
    <row r="263" spans="2:32">
      <c r="B263" s="109"/>
      <c r="C263" s="239"/>
      <c r="D263" s="109">
        <v>12</v>
      </c>
      <c r="E263" s="94">
        <v>28.92</v>
      </c>
      <c r="F263" s="109">
        <v>32</v>
      </c>
      <c r="G263" s="109">
        <v>0</v>
      </c>
      <c r="H263" s="109">
        <v>0</v>
      </c>
      <c r="I263" s="109">
        <v>10</v>
      </c>
      <c r="J263" s="109">
        <v>2</v>
      </c>
      <c r="K263" s="109">
        <v>0</v>
      </c>
      <c r="L263" s="109">
        <v>0</v>
      </c>
      <c r="M263" s="109"/>
      <c r="N263" s="109">
        <v>12</v>
      </c>
      <c r="O263" s="94">
        <v>33.17</v>
      </c>
      <c r="P263" s="109">
        <v>34</v>
      </c>
      <c r="Q263" s="109">
        <v>0</v>
      </c>
      <c r="R263" s="109">
        <v>0</v>
      </c>
      <c r="S263" s="109">
        <v>8</v>
      </c>
      <c r="T263" s="109">
        <v>4</v>
      </c>
      <c r="U263" s="109">
        <v>0</v>
      </c>
      <c r="V263" s="109">
        <v>0</v>
      </c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</row>
    <row r="264" spans="2:32">
      <c r="B264" s="109"/>
      <c r="C264" s="239"/>
      <c r="D264" s="109">
        <v>13</v>
      </c>
      <c r="E264" s="94">
        <v>35.46</v>
      </c>
      <c r="F264" s="109">
        <v>35</v>
      </c>
      <c r="G264" s="109">
        <v>0</v>
      </c>
      <c r="H264" s="109">
        <v>0</v>
      </c>
      <c r="I264" s="109">
        <v>4</v>
      </c>
      <c r="J264" s="109">
        <v>4</v>
      </c>
      <c r="K264" s="109">
        <v>4</v>
      </c>
      <c r="L264" s="109">
        <v>0</v>
      </c>
      <c r="M264" s="109"/>
      <c r="N264" s="109">
        <v>13</v>
      </c>
      <c r="O264" s="94">
        <v>35.46</v>
      </c>
      <c r="P264" s="109">
        <v>35</v>
      </c>
      <c r="Q264" s="109">
        <v>0</v>
      </c>
      <c r="R264" s="109">
        <v>0</v>
      </c>
      <c r="S264" s="109">
        <v>4</v>
      </c>
      <c r="T264" s="109">
        <v>4</v>
      </c>
      <c r="U264" s="109">
        <v>4</v>
      </c>
      <c r="V264" s="109">
        <v>0</v>
      </c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</row>
    <row r="265" spans="2:32">
      <c r="B265" s="109"/>
      <c r="C265" s="239"/>
      <c r="D265" s="109">
        <v>14</v>
      </c>
      <c r="E265" s="94">
        <v>34.58</v>
      </c>
      <c r="F265" s="109">
        <v>36</v>
      </c>
      <c r="G265" s="109">
        <v>0</v>
      </c>
      <c r="H265" s="109">
        <v>0</v>
      </c>
      <c r="I265" s="109">
        <v>6</v>
      </c>
      <c r="J265" s="109">
        <v>6</v>
      </c>
      <c r="K265" s="109">
        <v>0</v>
      </c>
      <c r="L265" s="109">
        <v>0</v>
      </c>
      <c r="M265" s="109"/>
      <c r="N265" s="109">
        <v>14</v>
      </c>
      <c r="O265" s="94">
        <v>34.58</v>
      </c>
      <c r="P265" s="109">
        <v>36</v>
      </c>
      <c r="Q265" s="109">
        <v>0</v>
      </c>
      <c r="R265" s="109">
        <v>0</v>
      </c>
      <c r="S265" s="109">
        <v>6</v>
      </c>
      <c r="T265" s="109">
        <v>6</v>
      </c>
      <c r="U265" s="109">
        <v>0</v>
      </c>
      <c r="V265" s="109">
        <v>0</v>
      </c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</row>
    <row r="266" spans="2:32">
      <c r="B266" s="109"/>
      <c r="C266" s="239"/>
      <c r="D266" s="92">
        <v>15</v>
      </c>
      <c r="E266" s="94">
        <v>37.770000000000003</v>
      </c>
      <c r="F266" s="109">
        <v>37</v>
      </c>
      <c r="G266" s="109">
        <v>0</v>
      </c>
      <c r="H266" s="109">
        <v>0</v>
      </c>
      <c r="I266" s="109">
        <v>2</v>
      </c>
      <c r="J266" s="109">
        <v>6</v>
      </c>
      <c r="K266" s="109">
        <v>4</v>
      </c>
      <c r="L266" s="109">
        <v>0</v>
      </c>
      <c r="M266" s="109"/>
      <c r="N266" s="92">
        <v>15</v>
      </c>
      <c r="O266" s="94">
        <v>37.770000000000003</v>
      </c>
      <c r="P266" s="109">
        <v>37</v>
      </c>
      <c r="Q266" s="109">
        <v>0</v>
      </c>
      <c r="R266" s="109">
        <v>0</v>
      </c>
      <c r="S266" s="109">
        <v>2</v>
      </c>
      <c r="T266" s="109">
        <v>6</v>
      </c>
      <c r="U266" s="109">
        <v>4</v>
      </c>
      <c r="V266" s="109">
        <v>0</v>
      </c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</row>
    <row r="267" spans="2:32">
      <c r="B267" s="109"/>
      <c r="C267" s="239"/>
      <c r="D267" s="109">
        <v>16</v>
      </c>
      <c r="E267" s="109">
        <v>0</v>
      </c>
      <c r="F267" s="109">
        <v>14</v>
      </c>
      <c r="G267" s="109">
        <v>6</v>
      </c>
      <c r="H267" s="109">
        <v>0</v>
      </c>
      <c r="I267" s="109">
        <v>4</v>
      </c>
      <c r="J267" s="109">
        <v>2</v>
      </c>
      <c r="K267" s="109">
        <v>0</v>
      </c>
      <c r="L267" s="109">
        <v>0</v>
      </c>
      <c r="M267" s="109"/>
      <c r="N267" s="109">
        <v>16</v>
      </c>
      <c r="O267" s="109">
        <v>0</v>
      </c>
      <c r="P267" s="109">
        <v>14</v>
      </c>
      <c r="Q267" s="109">
        <v>6</v>
      </c>
      <c r="R267" s="109">
        <v>0</v>
      </c>
      <c r="S267" s="109">
        <v>4</v>
      </c>
      <c r="T267" s="109">
        <v>2</v>
      </c>
      <c r="U267" s="109">
        <v>0</v>
      </c>
      <c r="V267" s="109">
        <v>0</v>
      </c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</row>
    <row r="268" spans="2:32">
      <c r="B268" s="109"/>
      <c r="C268" s="239"/>
      <c r="D268" s="109">
        <v>17</v>
      </c>
      <c r="E268" s="109">
        <v>0</v>
      </c>
      <c r="F268" s="109">
        <v>15</v>
      </c>
      <c r="G268" s="109">
        <v>6</v>
      </c>
      <c r="H268" s="109">
        <v>0</v>
      </c>
      <c r="I268" s="109">
        <v>2</v>
      </c>
      <c r="J268" s="109">
        <v>2</v>
      </c>
      <c r="K268" s="109">
        <v>2</v>
      </c>
      <c r="L268" s="109">
        <v>0</v>
      </c>
      <c r="M268" s="109"/>
      <c r="N268" s="109">
        <v>17</v>
      </c>
      <c r="O268" s="109">
        <v>0</v>
      </c>
      <c r="P268" s="109">
        <v>15</v>
      </c>
      <c r="Q268" s="109">
        <v>6</v>
      </c>
      <c r="R268" s="109">
        <v>0</v>
      </c>
      <c r="S268" s="109">
        <v>2</v>
      </c>
      <c r="T268" s="109">
        <v>2</v>
      </c>
      <c r="U268" s="109">
        <v>2</v>
      </c>
      <c r="V268" s="109">
        <v>0</v>
      </c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</row>
    <row r="269" spans="2:32">
      <c r="B269" s="109"/>
      <c r="C269" s="109"/>
      <c r="D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</row>
    <row r="270" spans="2:32">
      <c r="B270" s="109"/>
      <c r="C270" s="109"/>
      <c r="D270" s="109"/>
      <c r="E270" s="91" t="s">
        <v>221</v>
      </c>
      <c r="F270" s="91" t="s">
        <v>222</v>
      </c>
      <c r="G270" s="91" t="s">
        <v>223</v>
      </c>
      <c r="H270" s="91" t="s">
        <v>224</v>
      </c>
      <c r="I270" s="91" t="s">
        <v>225</v>
      </c>
      <c r="J270" s="91" t="s">
        <v>226</v>
      </c>
      <c r="K270" s="91" t="s">
        <v>227</v>
      </c>
      <c r="L270" s="91" t="s">
        <v>228</v>
      </c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</row>
    <row r="271" spans="2:32">
      <c r="B271" s="109"/>
      <c r="C271" s="109"/>
      <c r="D271" s="109">
        <f>AD250</f>
        <v>7</v>
      </c>
      <c r="E271" s="109">
        <f>VLOOKUP(D271,D251:L268,2,FALSE)</f>
        <v>25.88</v>
      </c>
      <c r="F271" s="109">
        <f>VLOOKUP(D271,D251:L268,3,FALSE)</f>
        <v>30</v>
      </c>
      <c r="G271" s="109">
        <f>VLOOKUP(D271,D251:L268,4,FALSE)</f>
        <v>0</v>
      </c>
      <c r="H271" s="109">
        <f>VLOOKUP(D271,D251:L268,5,FALSE)</f>
        <v>0</v>
      </c>
      <c r="I271" s="109">
        <f>VLOOKUP(D271,D251:L268,6,FALSE)</f>
        <v>12</v>
      </c>
      <c r="J271" s="109">
        <f>VLOOKUP(D271,D251:L268,7,FALSE)</f>
        <v>0</v>
      </c>
      <c r="K271" s="109">
        <f>VLOOKUP(D271,D251:L268,8,FALSE)</f>
        <v>0</v>
      </c>
      <c r="L271" s="109">
        <f>VLOOKUP(D271,D251:L268,9,FALSE)</f>
        <v>0</v>
      </c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</row>
    <row r="272" spans="2:32">
      <c r="B272" s="109"/>
      <c r="C272" s="109"/>
      <c r="D272" s="109">
        <v>0</v>
      </c>
      <c r="E272" s="109">
        <v>0</v>
      </c>
      <c r="F272" s="109">
        <v>0</v>
      </c>
      <c r="G272" s="109">
        <v>0</v>
      </c>
      <c r="H272" s="109">
        <v>0</v>
      </c>
      <c r="I272" s="109">
        <v>0</v>
      </c>
      <c r="J272" s="109">
        <v>0</v>
      </c>
      <c r="K272" s="109">
        <v>0</v>
      </c>
      <c r="L272" s="109">
        <v>0</v>
      </c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</row>
    <row r="273" spans="2:32">
      <c r="B273" s="109"/>
      <c r="C273" s="109"/>
      <c r="D273" s="109"/>
      <c r="E273" s="109"/>
      <c r="F273" s="109"/>
      <c r="G273" s="109">
        <f>G271+G272</f>
        <v>0</v>
      </c>
      <c r="H273" s="109">
        <f>H271+H272</f>
        <v>0</v>
      </c>
      <c r="I273" s="109">
        <f>I271+I272</f>
        <v>12</v>
      </c>
      <c r="J273" s="109">
        <f>J271+J272</f>
        <v>0</v>
      </c>
      <c r="K273" s="109">
        <f>K272+K271</f>
        <v>0</v>
      </c>
      <c r="L273" s="109">
        <f>L271+L272</f>
        <v>0</v>
      </c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</row>
    <row r="274" spans="2:32"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</row>
    <row r="275" spans="2:32"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</row>
    <row r="276" spans="2:32"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</row>
    <row r="277" spans="2:32">
      <c r="B277" s="109"/>
      <c r="C277" s="109"/>
      <c r="D277" s="109"/>
      <c r="E277" s="94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</row>
    <row r="291" spans="1:12">
      <c r="A291" s="99" t="s">
        <v>248</v>
      </c>
    </row>
    <row r="293" spans="1:12" s="63" customFormat="1" ht="10.5" customHeight="1">
      <c r="A293" s="100" t="s">
        <v>148</v>
      </c>
      <c r="B293" s="65"/>
      <c r="C293" s="101"/>
      <c r="D293" s="102"/>
      <c r="E293" s="103"/>
      <c r="F293" s="104"/>
      <c r="K293" s="105"/>
      <c r="L293" s="106"/>
    </row>
    <row r="294" spans="1:12" s="63" customFormat="1" ht="16.5" customHeight="1">
      <c r="A294" s="65" t="s">
        <v>196</v>
      </c>
      <c r="B294" s="104" t="e">
        <f>_!D27*курс*скидка</f>
        <v>#REF!</v>
      </c>
      <c r="C294" s="107"/>
      <c r="D294" s="102" t="e">
        <f>B294*C294</f>
        <v>#REF!</v>
      </c>
      <c r="E294" s="103" t="e">
        <f>IF(курс=1,"€","₽")</f>
        <v>#REF!</v>
      </c>
      <c r="F294" s="104" t="e">
        <f>D294/1.2</f>
        <v>#REF!</v>
      </c>
      <c r="K294" s="105"/>
      <c r="L294" s="106"/>
    </row>
  </sheetData>
  <sheetProtection password="C71A" sheet="1" objects="1" scenarios="1"/>
  <customSheetViews>
    <customSheetView guid="{EE5C2B4E-0986-4484-AC0A-003A1AA7501D}" scale="85" state="hidden" topLeftCell="A486">
      <selection activeCell="M517" sqref="M517"/>
      <pageMargins left="0.75" right="0.75" top="1" bottom="1" header="0.5" footer="0.5"/>
      <pageSetup paperSize="9" orientation="portrait" r:id="rId1"/>
      <headerFooter alignWithMargins="0"/>
    </customSheetView>
    <customSheetView guid="{20FA67BD-9BBC-4ED6-BBAA-373F6BCF607B}" scale="80" topLeftCell="A34">
      <selection activeCell="K73" sqref="K73"/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cale="80" showRuler="0" topLeftCell="A154">
      <selection activeCell="A154" sqref="A1:IV65536"/>
      <pageMargins left="0.75" right="0.75" top="1" bottom="1" header="0.5" footer="0.5"/>
      <pageSetup paperSize="9" orientation="portrait" verticalDpi="0" r:id="rId3"/>
      <headerFooter alignWithMargins="0"/>
    </customSheetView>
    <customSheetView guid="{7D664F49-CBB3-4B83-A19B-05FCB4570C5D}" scale="85" state="hidden" topLeftCell="H384">
      <selection activeCell="J43" sqref="J43"/>
      <pageMargins left="0.75" right="0.75" top="1" bottom="1" header="0.5" footer="0.5"/>
      <pageSetup paperSize="9" orientation="portrait" r:id="rId4"/>
      <headerFooter alignWithMargins="0"/>
    </customSheetView>
    <customSheetView guid="{11D08DB2-E31A-4B7D-96E3-15D146D9C90A}" scale="85" state="hidden" topLeftCell="A486">
      <selection activeCell="M517" sqref="M517"/>
      <pageMargins left="0.75" right="0.75" top="1" bottom="1" header="0.5" footer="0.5"/>
      <pageSetup paperSize="9" orientation="portrait" r:id="rId5"/>
      <headerFooter alignWithMargins="0"/>
    </customSheetView>
  </customSheetViews>
  <mergeCells count="7">
    <mergeCell ref="AC249:AF249"/>
    <mergeCell ref="C250:C268"/>
    <mergeCell ref="AD173:AF173"/>
    <mergeCell ref="C174:C192"/>
    <mergeCell ref="AC216:AF216"/>
    <mergeCell ref="C217:C235"/>
    <mergeCell ref="O226:P226"/>
  </mergeCells>
  <phoneticPr fontId="2" type="noConversion"/>
  <pageMargins left="0.75" right="0.75" top="1" bottom="1" header="0.5" footer="0.5"/>
  <pageSetup paperSize="9" orientation="portrait" r:id="rId6"/>
  <headerFooter alignWithMargins="0"/>
  <legacyDrawing r:id="rId7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23"/>
  <dimension ref="A1"/>
  <sheetViews>
    <sheetView topLeftCell="A16" workbookViewId="0"/>
  </sheetViews>
  <sheetFormatPr defaultRowHeight="14.4"/>
  <sheetData/>
  <customSheetViews>
    <customSheetView guid="{EE5C2B4E-0986-4484-AC0A-003A1AA7501D}" state="hidden" topLeftCell="A16">
      <pageMargins left="0.7" right="0.7" top="0.75" bottom="0.75" header="0.3" footer="0.3"/>
    </customSheetView>
    <customSheetView guid="{7D664F49-CBB3-4B83-A19B-05FCB4570C5D}" state="hidden" topLeftCell="A16">
      <pageMargins left="0.7" right="0.7" top="0.75" bottom="0.75" header="0.3" footer="0.3"/>
    </customSheetView>
    <customSheetView guid="{11D08DB2-E31A-4B7D-96E3-15D146D9C90A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1"/>
  <dimension ref="A1:AG56"/>
  <sheetViews>
    <sheetView tabSelected="1" zoomScaleNormal="100" workbookViewId="0"/>
  </sheetViews>
  <sheetFormatPr defaultColWidth="9.109375" defaultRowHeight="13.8"/>
  <cols>
    <col min="1" max="1" width="9.109375" style="19"/>
    <col min="2" max="2" width="8" style="19" customWidth="1"/>
    <col min="3" max="3" width="13.5546875" style="19" customWidth="1"/>
    <col min="4" max="7" width="13.5546875" style="37" customWidth="1"/>
    <col min="8" max="9" width="13.5546875" style="19" customWidth="1"/>
    <col min="10" max="10" width="8.88671875" style="19" customWidth="1"/>
    <col min="11" max="11" width="11.6640625" style="19" customWidth="1"/>
    <col min="12" max="12" width="4.44140625" style="19" customWidth="1"/>
    <col min="13" max="13" width="0.5546875" style="19" customWidth="1"/>
    <col min="14" max="14" width="8.109375" style="19" customWidth="1"/>
    <col min="15" max="15" width="2.5546875" style="19" customWidth="1"/>
    <col min="16" max="16" width="6.6640625" style="19" customWidth="1"/>
    <col min="17" max="17" width="1.88671875" style="19" customWidth="1"/>
    <col min="18" max="18" width="2.6640625" style="19" customWidth="1"/>
    <col min="19" max="16384" width="9.109375" style="19"/>
  </cols>
  <sheetData>
    <row r="1" spans="1:33" ht="13.5" customHeight="1">
      <c r="A1" s="17"/>
      <c r="B1" s="17"/>
      <c r="C1" s="17"/>
      <c r="D1" s="18"/>
      <c r="E1" s="18"/>
      <c r="F1" s="18"/>
      <c r="G1" s="18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ht="30" customHeight="1">
      <c r="A2" s="17"/>
      <c r="B2" s="17"/>
      <c r="C2" s="171" t="s">
        <v>202</v>
      </c>
      <c r="D2" s="171"/>
      <c r="E2" s="171"/>
      <c r="F2" s="20"/>
      <c r="G2" s="20"/>
      <c r="H2" s="20"/>
      <c r="I2" s="20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</row>
    <row r="3" spans="1:33" ht="32.25" customHeight="1">
      <c r="A3" s="17"/>
      <c r="B3" s="17"/>
      <c r="C3" s="172" t="s">
        <v>203</v>
      </c>
      <c r="D3" s="172"/>
      <c r="E3" s="172"/>
      <c r="F3" s="21"/>
      <c r="G3" s="21"/>
      <c r="H3" s="21"/>
      <c r="I3" s="21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</row>
    <row r="4" spans="1:33" ht="15" customHeight="1">
      <c r="A4" s="17"/>
      <c r="B4" s="17"/>
      <c r="C4" s="173" t="s">
        <v>232</v>
      </c>
      <c r="D4" s="173"/>
      <c r="E4" s="173"/>
      <c r="F4" s="173"/>
      <c r="G4" s="173"/>
      <c r="H4" s="173"/>
      <c r="I4" s="173"/>
      <c r="J4" s="173"/>
      <c r="K4" s="44"/>
      <c r="L4" s="44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</row>
    <row r="5" spans="1:33">
      <c r="A5" s="17"/>
      <c r="B5" s="17"/>
      <c r="C5" s="17"/>
      <c r="D5" s="23"/>
      <c r="E5" s="23"/>
      <c r="F5" s="18"/>
      <c r="G5" s="18"/>
      <c r="H5" s="17"/>
      <c r="I5" s="17"/>
      <c r="J5" s="17"/>
      <c r="K5" s="24" t="s">
        <v>204</v>
      </c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</row>
    <row r="6" spans="1:33">
      <c r="A6" s="17"/>
      <c r="B6" s="17"/>
      <c r="C6" s="17"/>
      <c r="D6" s="23"/>
      <c r="E6" s="23"/>
      <c r="F6" s="18"/>
      <c r="G6" s="18"/>
      <c r="H6" s="17"/>
      <c r="I6" s="17"/>
      <c r="J6" s="17"/>
      <c r="K6" s="24"/>
      <c r="L6" s="42" t="s">
        <v>211</v>
      </c>
      <c r="M6" s="42"/>
      <c r="N6" s="42" t="s">
        <v>212</v>
      </c>
      <c r="O6" s="42"/>
      <c r="P6" s="42" t="s">
        <v>213</v>
      </c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27.75" customHeight="1">
      <c r="A7" s="17"/>
      <c r="B7" s="17"/>
      <c r="C7" s="169" t="s">
        <v>60</v>
      </c>
      <c r="D7" s="169"/>
      <c r="E7" s="169"/>
      <c r="F7" s="26"/>
      <c r="G7" s="26"/>
      <c r="H7" s="27"/>
      <c r="I7" s="27"/>
      <c r="J7" s="17"/>
      <c r="K7" s="41" t="s">
        <v>231</v>
      </c>
      <c r="L7" s="55"/>
      <c r="M7" s="41"/>
      <c r="N7" s="56"/>
      <c r="O7" s="50" t="s">
        <v>20</v>
      </c>
      <c r="P7" s="56"/>
      <c r="Q7" s="51"/>
      <c r="R7" s="41"/>
      <c r="S7" s="29"/>
      <c r="T7" s="29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ht="28.5" customHeight="1">
      <c r="A8" s="17"/>
      <c r="B8" s="30"/>
      <c r="C8" s="165" t="s">
        <v>141</v>
      </c>
      <c r="D8" s="165"/>
      <c r="E8" s="165"/>
      <c r="F8" s="164" t="s">
        <v>12</v>
      </c>
      <c r="G8" s="164"/>
      <c r="H8" s="167">
        <f>_!G197</f>
        <v>8</v>
      </c>
      <c r="I8" s="16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3" ht="28.5" customHeight="1">
      <c r="A9" s="17"/>
      <c r="B9" s="30"/>
      <c r="C9" s="166" t="s">
        <v>147</v>
      </c>
      <c r="D9" s="166"/>
      <c r="E9" s="166"/>
      <c r="F9" s="165" t="s">
        <v>205</v>
      </c>
      <c r="G9" s="165"/>
      <c r="H9" s="168">
        <f>_!L197</f>
        <v>2</v>
      </c>
      <c r="I9" s="168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</row>
    <row r="10" spans="1:33" ht="28.5" customHeight="1">
      <c r="A10" s="17"/>
      <c r="B10" s="30"/>
      <c r="C10" s="166" t="s">
        <v>145</v>
      </c>
      <c r="D10" s="166"/>
      <c r="E10" s="166"/>
      <c r="F10" s="166" t="s">
        <v>5</v>
      </c>
      <c r="G10" s="166"/>
      <c r="H10" s="168">
        <f>_!H197</f>
        <v>8</v>
      </c>
      <c r="I10" s="168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</row>
    <row r="11" spans="1:33" ht="28.5" customHeight="1">
      <c r="A11" s="17"/>
      <c r="B11" s="30"/>
      <c r="C11" s="166" t="s">
        <v>146</v>
      </c>
      <c r="D11" s="166"/>
      <c r="E11" s="166"/>
      <c r="F11" s="166" t="s">
        <v>206</v>
      </c>
      <c r="G11" s="166"/>
      <c r="H11" s="168">
        <f>_!I197</f>
        <v>6</v>
      </c>
      <c r="I11" s="168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</row>
    <row r="12" spans="1:33" ht="28.5" customHeight="1">
      <c r="A12" s="17"/>
      <c r="B12" s="30"/>
      <c r="C12" s="166" t="s">
        <v>146</v>
      </c>
      <c r="D12" s="166"/>
      <c r="E12" s="166"/>
      <c r="F12" s="166" t="s">
        <v>207</v>
      </c>
      <c r="G12" s="166"/>
      <c r="H12" s="168">
        <f>_!K197</f>
        <v>0</v>
      </c>
      <c r="I12" s="168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</row>
    <row r="13" spans="1:33" ht="28.5" customHeight="1">
      <c r="A13" s="17"/>
      <c r="B13" s="30"/>
      <c r="C13" s="166" t="s">
        <v>146</v>
      </c>
      <c r="D13" s="166"/>
      <c r="E13" s="166"/>
      <c r="F13" s="166" t="s">
        <v>208</v>
      </c>
      <c r="G13" s="166"/>
      <c r="H13" s="168">
        <f>_!J197</f>
        <v>2</v>
      </c>
      <c r="I13" s="168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</row>
    <row r="14" spans="1:33" ht="28.5" customHeight="1">
      <c r="A14" s="17"/>
      <c r="B14" s="30"/>
      <c r="C14" s="174" t="s">
        <v>209</v>
      </c>
      <c r="D14" s="174"/>
      <c r="E14" s="174"/>
      <c r="F14" s="35"/>
      <c r="G14" s="170" t="str">
        <f>_!V179</f>
        <v>Дисплей,клавиатура</v>
      </c>
      <c r="H14" s="170"/>
      <c r="I14" s="170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</row>
    <row r="15" spans="1:33" ht="35.1" customHeight="1">
      <c r="A15" s="17"/>
      <c r="B15" s="17"/>
      <c r="C15" s="163" t="s">
        <v>210</v>
      </c>
      <c r="D15" s="163"/>
      <c r="E15" s="163"/>
      <c r="F15" s="52"/>
      <c r="G15" s="52"/>
      <c r="H15" s="162">
        <f>_!AG176</f>
        <v>384.55284999999998</v>
      </c>
      <c r="I15" s="162"/>
      <c r="J15" s="17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</row>
    <row r="16" spans="1:33" ht="18" customHeight="1">
      <c r="A16" s="30"/>
      <c r="B16" s="30"/>
      <c r="C16" s="30"/>
      <c r="D16" s="43"/>
      <c r="E16" s="43"/>
      <c r="F16" s="43"/>
      <c r="G16" s="43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17"/>
      <c r="Z16" s="17"/>
      <c r="AA16" s="17"/>
      <c r="AB16" s="17"/>
      <c r="AC16" s="17"/>
      <c r="AD16" s="17"/>
      <c r="AE16" s="17"/>
      <c r="AF16" s="17"/>
      <c r="AG16" s="17"/>
    </row>
    <row r="17" spans="1:33">
      <c r="A17" s="30"/>
      <c r="B17" s="30"/>
      <c r="C17" s="45" t="s">
        <v>233</v>
      </c>
      <c r="D17" s="45" t="s">
        <v>12</v>
      </c>
      <c r="E17" s="45" t="s">
        <v>5</v>
      </c>
      <c r="F17" s="45" t="s">
        <v>206</v>
      </c>
      <c r="G17" s="45" t="s">
        <v>208</v>
      </c>
      <c r="H17" s="45" t="s">
        <v>207</v>
      </c>
      <c r="I17" s="45" t="s">
        <v>205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17"/>
      <c r="Z17" s="17"/>
      <c r="AA17" s="17"/>
      <c r="AB17" s="17"/>
      <c r="AC17" s="17"/>
      <c r="AD17" s="17"/>
      <c r="AE17" s="17"/>
      <c r="AF17" s="17"/>
      <c r="AG17" s="17"/>
    </row>
    <row r="18" spans="1:33">
      <c r="A18" s="30"/>
      <c r="B18" s="30"/>
      <c r="C18" s="46" t="s">
        <v>201</v>
      </c>
      <c r="D18" s="47">
        <v>0</v>
      </c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17"/>
      <c r="Z18" s="17"/>
      <c r="AA18" s="17"/>
      <c r="AB18" s="17"/>
      <c r="AC18" s="17"/>
      <c r="AD18" s="17"/>
      <c r="AE18" s="17"/>
      <c r="AF18" s="17"/>
      <c r="AG18" s="17"/>
    </row>
    <row r="19" spans="1:33">
      <c r="A19" s="30"/>
      <c r="B19" s="30"/>
      <c r="C19" s="48">
        <v>10</v>
      </c>
      <c r="D19" s="48">
        <v>8</v>
      </c>
      <c r="E19" s="48">
        <v>0</v>
      </c>
      <c r="F19" s="48">
        <v>4</v>
      </c>
      <c r="G19" s="48">
        <v>0</v>
      </c>
      <c r="H19" s="48">
        <v>0</v>
      </c>
      <c r="I19" s="48">
        <v>0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17"/>
      <c r="Z19" s="17"/>
      <c r="AA19" s="17"/>
      <c r="AB19" s="17"/>
      <c r="AC19" s="17"/>
      <c r="AD19" s="17"/>
      <c r="AE19" s="17"/>
      <c r="AF19" s="17"/>
      <c r="AG19" s="17"/>
    </row>
    <row r="20" spans="1:33">
      <c r="A20" s="30"/>
      <c r="B20" s="30"/>
      <c r="C20" s="48">
        <v>11</v>
      </c>
      <c r="D20" s="48">
        <v>8</v>
      </c>
      <c r="E20" s="48">
        <v>0</v>
      </c>
      <c r="F20" s="48">
        <v>2</v>
      </c>
      <c r="G20" s="48">
        <v>0</v>
      </c>
      <c r="H20" s="48">
        <v>2</v>
      </c>
      <c r="I20" s="48">
        <v>0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>
      <c r="A21" s="30"/>
      <c r="B21" s="30"/>
      <c r="C21" s="48">
        <v>13</v>
      </c>
      <c r="D21" s="48">
        <v>6</v>
      </c>
      <c r="E21" s="48">
        <v>0</v>
      </c>
      <c r="F21" s="48">
        <v>4</v>
      </c>
      <c r="G21" s="48">
        <v>0</v>
      </c>
      <c r="H21" s="48">
        <v>2</v>
      </c>
      <c r="I21" s="48">
        <v>0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17"/>
      <c r="Z21" s="17"/>
      <c r="AA21" s="17"/>
      <c r="AB21" s="17"/>
      <c r="AC21" s="17"/>
      <c r="AD21" s="17"/>
      <c r="AE21" s="17"/>
      <c r="AF21" s="17"/>
      <c r="AG21" s="17"/>
    </row>
    <row r="22" spans="1:33">
      <c r="A22" s="30"/>
      <c r="B22" s="30"/>
      <c r="C22" s="48">
        <v>20</v>
      </c>
      <c r="D22" s="48">
        <v>0</v>
      </c>
      <c r="E22" s="48">
        <v>8</v>
      </c>
      <c r="F22" s="48">
        <v>2</v>
      </c>
      <c r="G22" s="48">
        <v>2</v>
      </c>
      <c r="H22" s="48">
        <v>0</v>
      </c>
      <c r="I22" s="48">
        <v>2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17"/>
      <c r="Z22" s="17"/>
      <c r="AA22" s="17"/>
      <c r="AB22" s="17"/>
      <c r="AC22" s="17"/>
      <c r="AD22" s="17"/>
      <c r="AE22" s="17"/>
      <c r="AF22" s="17"/>
      <c r="AG22" s="17"/>
    </row>
    <row r="23" spans="1:33">
      <c r="A23" s="30"/>
      <c r="B23" s="30"/>
      <c r="C23" s="48">
        <v>21</v>
      </c>
      <c r="D23" s="48">
        <v>0</v>
      </c>
      <c r="E23" s="48">
        <v>8</v>
      </c>
      <c r="F23" s="48">
        <v>1</v>
      </c>
      <c r="G23" s="48">
        <v>1</v>
      </c>
      <c r="H23" s="48">
        <v>0</v>
      </c>
      <c r="I23" s="48">
        <v>4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17"/>
      <c r="Z23" s="17"/>
      <c r="AA23" s="17"/>
      <c r="AB23" s="17"/>
      <c r="AC23" s="17"/>
      <c r="AD23" s="17"/>
      <c r="AE23" s="17"/>
      <c r="AF23" s="17"/>
      <c r="AG23" s="17"/>
    </row>
    <row r="24" spans="1:33">
      <c r="A24" s="30"/>
      <c r="B24" s="30"/>
      <c r="C24" s="48">
        <v>22</v>
      </c>
      <c r="D24" s="48">
        <v>0</v>
      </c>
      <c r="E24" s="48">
        <v>16</v>
      </c>
      <c r="F24" s="48">
        <v>0</v>
      </c>
      <c r="G24" s="48">
        <v>0</v>
      </c>
      <c r="H24" s="48">
        <v>0</v>
      </c>
      <c r="I24" s="48">
        <v>0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17"/>
      <c r="Z24" s="17"/>
      <c r="AA24" s="17"/>
      <c r="AB24" s="17"/>
      <c r="AC24" s="17"/>
      <c r="AD24" s="17"/>
      <c r="AE24" s="17"/>
      <c r="AF24" s="17"/>
      <c r="AG24" s="17"/>
    </row>
    <row r="25" spans="1:33">
      <c r="A25" s="30"/>
      <c r="B25" s="30"/>
      <c r="C25" s="48">
        <v>30</v>
      </c>
      <c r="D25" s="48">
        <v>0</v>
      </c>
      <c r="E25" s="48">
        <v>0</v>
      </c>
      <c r="F25" s="48">
        <v>12</v>
      </c>
      <c r="G25" s="48">
        <v>0</v>
      </c>
      <c r="H25" s="48">
        <v>0</v>
      </c>
      <c r="I25" s="48">
        <v>0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17"/>
      <c r="Z25" s="17"/>
      <c r="AA25" s="17"/>
      <c r="AB25" s="17"/>
      <c r="AC25" s="17"/>
      <c r="AD25" s="17"/>
      <c r="AE25" s="17"/>
      <c r="AF25" s="17"/>
      <c r="AG25" s="17"/>
    </row>
    <row r="26" spans="1:33">
      <c r="A26" s="30"/>
      <c r="B26" s="30"/>
      <c r="C26" s="49">
        <v>33</v>
      </c>
      <c r="D26" s="49">
        <v>0</v>
      </c>
      <c r="E26" s="49">
        <v>0</v>
      </c>
      <c r="F26" s="49">
        <v>8</v>
      </c>
      <c r="G26" s="49">
        <v>0</v>
      </c>
      <c r="H26" s="49">
        <v>4</v>
      </c>
      <c r="I26" s="49">
        <v>0</v>
      </c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17"/>
      <c r="Z26" s="17"/>
      <c r="AA26" s="17"/>
      <c r="AB26" s="17"/>
      <c r="AC26" s="17"/>
      <c r="AD26" s="17"/>
      <c r="AE26" s="17"/>
      <c r="AF26" s="17"/>
      <c r="AG26" s="17"/>
    </row>
    <row r="27" spans="1:33">
      <c r="A27" s="30"/>
      <c r="B27" s="30"/>
      <c r="C27" s="17"/>
      <c r="D27" s="17"/>
      <c r="E27" s="17"/>
      <c r="F27" s="17"/>
      <c r="G27" s="17"/>
      <c r="H27" s="17"/>
      <c r="I27" s="17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17"/>
      <c r="Z27" s="17"/>
      <c r="AA27" s="17"/>
      <c r="AB27" s="17"/>
      <c r="AC27" s="17"/>
      <c r="AD27" s="17"/>
      <c r="AE27" s="17"/>
      <c r="AF27" s="17"/>
      <c r="AG27" s="17"/>
    </row>
    <row r="28" spans="1:33">
      <c r="A28" s="30"/>
      <c r="B28" s="30"/>
      <c r="C28" s="49"/>
      <c r="D28" s="49"/>
      <c r="E28" s="49"/>
      <c r="F28" s="49"/>
      <c r="G28" s="49"/>
      <c r="H28" s="49"/>
      <c r="I28" s="49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17"/>
      <c r="Z28" s="17"/>
      <c r="AA28" s="17"/>
      <c r="AB28" s="17"/>
      <c r="AC28" s="17"/>
      <c r="AD28" s="17"/>
      <c r="AE28" s="17"/>
      <c r="AF28" s="17"/>
      <c r="AG28" s="17"/>
    </row>
    <row r="29" spans="1:33">
      <c r="A29" s="30"/>
      <c r="B29" s="30"/>
      <c r="C29" s="49"/>
      <c r="D29" s="49"/>
      <c r="E29" s="49"/>
      <c r="F29" s="49"/>
      <c r="G29" s="49"/>
      <c r="H29" s="49"/>
      <c r="I29" s="49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17"/>
      <c r="Z29" s="17"/>
      <c r="AA29" s="17"/>
      <c r="AB29" s="17"/>
      <c r="AC29" s="17"/>
      <c r="AD29" s="17"/>
      <c r="AE29" s="17"/>
      <c r="AF29" s="17"/>
      <c r="AG29" s="17"/>
    </row>
    <row r="30" spans="1:33">
      <c r="A30" s="30"/>
      <c r="B30" s="30"/>
      <c r="C30" s="49"/>
      <c r="D30" s="49"/>
      <c r="E30" s="49"/>
      <c r="F30" s="49"/>
      <c r="G30" s="49"/>
      <c r="H30" s="49"/>
      <c r="I30" s="49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17"/>
      <c r="Z30" s="17"/>
      <c r="AA30" s="17"/>
      <c r="AB30" s="17"/>
      <c r="AC30" s="17"/>
      <c r="AD30" s="17"/>
      <c r="AE30" s="17"/>
      <c r="AF30" s="17"/>
      <c r="AG30" s="17"/>
    </row>
    <row r="31" spans="1:33">
      <c r="A31" s="30"/>
      <c r="B31" s="30"/>
      <c r="C31" s="49"/>
      <c r="D31" s="49"/>
      <c r="E31" s="49"/>
      <c r="F31" s="49"/>
      <c r="G31" s="49"/>
      <c r="H31" s="49"/>
      <c r="I31" s="49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17"/>
      <c r="Z31" s="17"/>
      <c r="AA31" s="17"/>
      <c r="AB31" s="17"/>
      <c r="AC31" s="17"/>
      <c r="AD31" s="17"/>
      <c r="AE31" s="17"/>
      <c r="AF31" s="17"/>
      <c r="AG31" s="17"/>
    </row>
    <row r="32" spans="1:33">
      <c r="A32" s="30"/>
      <c r="B32" s="30"/>
      <c r="C32" s="30"/>
      <c r="D32" s="43"/>
      <c r="E32" s="43"/>
      <c r="F32" s="43"/>
      <c r="G32" s="43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17"/>
      <c r="Z32" s="17"/>
      <c r="AA32" s="17"/>
      <c r="AB32" s="17"/>
      <c r="AC32" s="17"/>
      <c r="AD32" s="17"/>
      <c r="AE32" s="17"/>
      <c r="AF32" s="17"/>
      <c r="AG32" s="17"/>
    </row>
    <row r="33" spans="1:33">
      <c r="A33" s="30"/>
      <c r="B33" s="30"/>
      <c r="C33" s="30"/>
      <c r="D33" s="43"/>
      <c r="E33" s="43"/>
      <c r="F33" s="43"/>
      <c r="G33" s="43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17"/>
      <c r="Z33" s="17"/>
      <c r="AA33" s="17"/>
      <c r="AB33" s="17"/>
      <c r="AC33" s="17"/>
      <c r="AD33" s="17"/>
      <c r="AE33" s="17"/>
      <c r="AF33" s="17"/>
      <c r="AG33" s="17"/>
    </row>
    <row r="34" spans="1:33">
      <c r="A34" s="30"/>
      <c r="B34" s="30"/>
      <c r="C34" s="17"/>
      <c r="D34" s="18"/>
      <c r="E34" s="18"/>
      <c r="F34" s="18"/>
      <c r="G34" s="18"/>
      <c r="H34" s="17"/>
      <c r="I34" s="17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17"/>
      <c r="Z34" s="17"/>
      <c r="AA34" s="17"/>
      <c r="AB34" s="17"/>
      <c r="AC34" s="17"/>
      <c r="AD34" s="17"/>
      <c r="AE34" s="17"/>
      <c r="AF34" s="17"/>
      <c r="AG34" s="17"/>
    </row>
    <row r="35" spans="1:33">
      <c r="A35" s="30"/>
      <c r="B35" s="30"/>
      <c r="C35" s="17"/>
      <c r="D35" s="18"/>
      <c r="E35" s="18"/>
      <c r="F35" s="18"/>
      <c r="G35" s="18"/>
      <c r="H35" s="17"/>
      <c r="I35" s="17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17"/>
      <c r="Z35" s="17"/>
      <c r="AA35" s="17"/>
      <c r="AB35" s="17"/>
      <c r="AC35" s="17"/>
      <c r="AD35" s="17"/>
      <c r="AE35" s="17"/>
      <c r="AF35" s="17"/>
      <c r="AG35" s="17"/>
    </row>
    <row r="36" spans="1:33">
      <c r="A36" s="30"/>
      <c r="B36" s="30"/>
      <c r="C36" s="17"/>
      <c r="D36" s="18"/>
      <c r="E36" s="18"/>
      <c r="F36" s="18"/>
      <c r="G36" s="18"/>
      <c r="H36" s="17"/>
      <c r="I36" s="17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17"/>
      <c r="Z36" s="17"/>
      <c r="AA36" s="17"/>
      <c r="AB36" s="17"/>
      <c r="AC36" s="17"/>
      <c r="AD36" s="17"/>
      <c r="AE36" s="17"/>
      <c r="AF36" s="17"/>
      <c r="AG36" s="17"/>
    </row>
    <row r="37" spans="1:33">
      <c r="A37" s="30"/>
      <c r="B37" s="30"/>
      <c r="C37" s="17"/>
      <c r="D37" s="18"/>
      <c r="E37" s="18"/>
      <c r="F37" s="18"/>
      <c r="G37" s="18"/>
      <c r="H37" s="17"/>
      <c r="I37" s="17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17"/>
      <c r="Z37" s="17"/>
      <c r="AA37" s="17"/>
      <c r="AB37" s="17"/>
      <c r="AC37" s="17"/>
      <c r="AD37" s="17"/>
      <c r="AE37" s="17"/>
      <c r="AF37" s="17"/>
      <c r="AG37" s="17"/>
    </row>
    <row r="38" spans="1:33">
      <c r="A38" s="30"/>
      <c r="B38" s="30"/>
      <c r="C38" s="17"/>
      <c r="D38" s="18"/>
      <c r="E38" s="18"/>
      <c r="F38" s="18"/>
      <c r="G38" s="18"/>
      <c r="H38" s="17"/>
      <c r="I38" s="17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30"/>
      <c r="V38" s="30"/>
      <c r="W38" s="30"/>
      <c r="X38" s="30"/>
      <c r="Y38" s="17"/>
      <c r="Z38" s="17"/>
      <c r="AA38" s="17"/>
      <c r="AB38" s="17"/>
      <c r="AC38" s="17"/>
      <c r="AD38" s="17"/>
      <c r="AE38" s="17"/>
      <c r="AF38" s="17"/>
      <c r="AG38" s="17"/>
    </row>
    <row r="39" spans="1:33">
      <c r="A39" s="30"/>
      <c r="B39" s="30"/>
      <c r="C39" s="17"/>
      <c r="D39" s="18"/>
      <c r="E39" s="18"/>
      <c r="F39" s="18"/>
      <c r="G39" s="18"/>
      <c r="H39" s="17"/>
      <c r="I39" s="17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30"/>
      <c r="V39" s="30"/>
      <c r="W39" s="30"/>
      <c r="X39" s="30"/>
      <c r="Y39" s="17"/>
      <c r="Z39" s="17"/>
      <c r="AA39" s="17"/>
      <c r="AB39" s="17"/>
      <c r="AC39" s="17"/>
      <c r="AD39" s="17"/>
      <c r="AE39" s="17"/>
      <c r="AF39" s="17"/>
      <c r="AG39" s="17"/>
    </row>
    <row r="40" spans="1:33">
      <c r="A40" s="53"/>
      <c r="B40" s="53"/>
      <c r="C40" s="53"/>
      <c r="D40" s="54"/>
      <c r="E40" s="54"/>
      <c r="F40" s="54"/>
      <c r="G40" s="54"/>
      <c r="H40" s="30"/>
      <c r="I40" s="30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30"/>
      <c r="V40" s="30"/>
      <c r="W40" s="30"/>
      <c r="X40" s="30"/>
      <c r="Y40" s="30"/>
      <c r="Z40" s="17"/>
      <c r="AA40" s="17"/>
      <c r="AB40" s="17"/>
      <c r="AC40" s="17"/>
      <c r="AD40" s="17"/>
      <c r="AE40" s="17"/>
      <c r="AF40" s="17"/>
      <c r="AG40" s="17"/>
    </row>
    <row r="41" spans="1:33">
      <c r="A41" s="53"/>
      <c r="B41" s="53"/>
      <c r="C41" s="53"/>
      <c r="D41" s="54"/>
      <c r="E41" s="54"/>
      <c r="F41" s="54"/>
      <c r="G41" s="54"/>
      <c r="H41" s="30"/>
      <c r="I41" s="30"/>
      <c r="J41" s="53"/>
      <c r="K41" s="53"/>
      <c r="L41" s="53"/>
      <c r="M41" s="53"/>
      <c r="N41" s="53"/>
      <c r="O41" s="57" t="s">
        <v>238</v>
      </c>
      <c r="P41" s="53"/>
      <c r="Q41" s="53"/>
      <c r="R41" s="53"/>
      <c r="S41" s="53"/>
      <c r="T41" s="53"/>
      <c r="U41" s="30"/>
      <c r="V41" s="30"/>
      <c r="W41" s="30"/>
      <c r="X41" s="30"/>
      <c r="Y41" s="30"/>
      <c r="Z41" s="17"/>
      <c r="AA41" s="17"/>
      <c r="AB41" s="17"/>
      <c r="AC41" s="17"/>
      <c r="AD41" s="17"/>
      <c r="AE41" s="17"/>
      <c r="AF41" s="17"/>
      <c r="AG41" s="17"/>
    </row>
    <row r="42" spans="1:33">
      <c r="A42" s="53"/>
      <c r="B42" s="53"/>
      <c r="C42" s="53"/>
      <c r="D42" s="54"/>
      <c r="E42" s="54"/>
      <c r="F42" s="54"/>
      <c r="G42" s="54"/>
      <c r="H42" s="30"/>
      <c r="I42" s="30"/>
      <c r="J42" s="53"/>
      <c r="K42" s="58" t="s">
        <v>201</v>
      </c>
      <c r="L42" s="53" t="s">
        <v>230</v>
      </c>
      <c r="M42" s="53" t="str">
        <f>CONCATENATE(L42,L7)</f>
        <v>_</v>
      </c>
      <c r="N42" s="53"/>
      <c r="O42" s="57" t="s">
        <v>237</v>
      </c>
      <c r="P42" s="53"/>
      <c r="Q42" s="53"/>
      <c r="R42" s="53"/>
      <c r="S42" s="53"/>
      <c r="T42" s="53"/>
      <c r="U42" s="30"/>
      <c r="V42" s="30"/>
      <c r="W42" s="30"/>
      <c r="X42" s="30"/>
      <c r="Y42" s="30"/>
      <c r="Z42" s="17"/>
      <c r="AA42" s="17"/>
      <c r="AB42" s="17"/>
      <c r="AC42" s="17"/>
      <c r="AD42" s="17"/>
      <c r="AE42" s="17"/>
      <c r="AF42" s="17"/>
      <c r="AG42" s="17"/>
    </row>
    <row r="43" spans="1:33">
      <c r="A43" s="53"/>
      <c r="B43" s="53"/>
      <c r="C43" s="53"/>
      <c r="D43" s="54"/>
      <c r="E43" s="54"/>
      <c r="F43" s="54"/>
      <c r="G43" s="54"/>
      <c r="H43" s="30"/>
      <c r="I43" s="30"/>
      <c r="J43" s="53"/>
      <c r="K43" s="59">
        <v>10</v>
      </c>
      <c r="L43" s="53"/>
      <c r="M43" s="53"/>
      <c r="N43" s="53"/>
      <c r="O43" s="57" t="s">
        <v>261</v>
      </c>
      <c r="P43" s="53"/>
      <c r="Q43" s="53"/>
      <c r="R43" s="53"/>
      <c r="S43" s="53"/>
      <c r="T43" s="53"/>
      <c r="U43" s="30"/>
      <c r="V43" s="30"/>
      <c r="W43" s="30"/>
      <c r="X43" s="30"/>
      <c r="Y43" s="30"/>
      <c r="Z43" s="17"/>
      <c r="AA43" s="17"/>
      <c r="AB43" s="17"/>
      <c r="AC43" s="17"/>
      <c r="AD43" s="17"/>
      <c r="AE43" s="17"/>
      <c r="AF43" s="17"/>
      <c r="AG43" s="17"/>
    </row>
    <row r="44" spans="1:33">
      <c r="A44" s="53"/>
      <c r="B44" s="53"/>
      <c r="C44" s="53"/>
      <c r="D44" s="54"/>
      <c r="E44" s="54"/>
      <c r="F44" s="54"/>
      <c r="G44" s="54"/>
      <c r="H44" s="30"/>
      <c r="I44" s="30"/>
      <c r="J44" s="53"/>
      <c r="K44" s="59">
        <v>11</v>
      </c>
      <c r="L44" s="53"/>
      <c r="M44" s="53"/>
      <c r="N44" s="53"/>
      <c r="O44" s="57" t="s">
        <v>260</v>
      </c>
      <c r="P44" s="53"/>
      <c r="Q44" s="53"/>
      <c r="R44" s="53"/>
      <c r="S44" s="53"/>
      <c r="T44" s="53"/>
      <c r="U44" s="30"/>
      <c r="V44" s="30"/>
      <c r="W44" s="30"/>
      <c r="X44" s="30"/>
      <c r="Y44" s="30"/>
      <c r="Z44" s="17"/>
      <c r="AA44" s="17"/>
      <c r="AB44" s="17"/>
      <c r="AC44" s="17"/>
      <c r="AD44" s="17"/>
      <c r="AE44" s="17"/>
      <c r="AF44" s="17"/>
      <c r="AG44" s="17"/>
    </row>
    <row r="45" spans="1:33">
      <c r="A45" s="53"/>
      <c r="B45" s="53"/>
      <c r="C45" s="53"/>
      <c r="D45" s="54"/>
      <c r="E45" s="54"/>
      <c r="F45" s="54"/>
      <c r="G45" s="54"/>
      <c r="H45" s="30"/>
      <c r="I45" s="30"/>
      <c r="J45" s="53"/>
      <c r="K45" s="59">
        <v>13</v>
      </c>
      <c r="L45" s="53"/>
      <c r="M45" s="53"/>
      <c r="N45" s="53"/>
      <c r="O45" s="53"/>
      <c r="P45" s="53"/>
      <c r="Q45" s="53"/>
      <c r="R45" s="53"/>
      <c r="S45" s="53"/>
      <c r="T45" s="53"/>
      <c r="U45" s="30"/>
      <c r="V45" s="30"/>
      <c r="W45" s="30"/>
      <c r="X45" s="30"/>
      <c r="Y45" s="30"/>
      <c r="Z45" s="17"/>
      <c r="AA45" s="17"/>
      <c r="AB45" s="17"/>
      <c r="AC45" s="17"/>
      <c r="AD45" s="17"/>
      <c r="AE45" s="17"/>
      <c r="AF45" s="17"/>
      <c r="AG45" s="17"/>
    </row>
    <row r="46" spans="1:33">
      <c r="A46" s="53"/>
      <c r="B46" s="53"/>
      <c r="C46" s="53"/>
      <c r="D46" s="54"/>
      <c r="E46" s="54"/>
      <c r="F46" s="54"/>
      <c r="G46" s="54"/>
      <c r="H46" s="30"/>
      <c r="I46" s="30"/>
      <c r="J46" s="53"/>
      <c r="K46" s="59">
        <v>20</v>
      </c>
      <c r="L46" s="53"/>
      <c r="M46" s="53"/>
      <c r="N46" s="53"/>
      <c r="O46" s="53"/>
      <c r="P46" s="53"/>
      <c r="Q46" s="53"/>
      <c r="R46" s="53"/>
      <c r="S46" s="53"/>
      <c r="T46" s="53"/>
      <c r="U46" s="30"/>
      <c r="V46" s="30"/>
      <c r="W46" s="30"/>
      <c r="X46" s="30"/>
      <c r="Y46" s="30"/>
      <c r="Z46" s="17"/>
      <c r="AA46" s="17"/>
      <c r="AB46" s="17"/>
      <c r="AC46" s="17"/>
      <c r="AD46" s="17"/>
      <c r="AE46" s="17"/>
      <c r="AF46" s="17"/>
      <c r="AG46" s="17"/>
    </row>
    <row r="47" spans="1:33">
      <c r="A47" s="53"/>
      <c r="B47" s="53"/>
      <c r="C47" s="53"/>
      <c r="D47" s="54"/>
      <c r="E47" s="54"/>
      <c r="F47" s="54"/>
      <c r="G47" s="54"/>
      <c r="H47" s="30"/>
      <c r="I47" s="30"/>
      <c r="J47" s="53"/>
      <c r="K47" s="59">
        <v>21</v>
      </c>
      <c r="L47" s="53"/>
      <c r="M47" s="53"/>
      <c r="N47" s="53"/>
      <c r="O47" s="53"/>
      <c r="P47" s="53"/>
      <c r="Q47" s="53"/>
      <c r="R47" s="53"/>
      <c r="S47" s="53"/>
      <c r="T47" s="53"/>
      <c r="U47" s="30"/>
      <c r="V47" s="30"/>
      <c r="W47" s="30"/>
      <c r="X47" s="30"/>
      <c r="Y47" s="30"/>
      <c r="Z47" s="17"/>
      <c r="AA47" s="17"/>
      <c r="AB47" s="17"/>
      <c r="AC47" s="17"/>
      <c r="AD47" s="17"/>
      <c r="AE47" s="17"/>
      <c r="AF47" s="17"/>
      <c r="AG47" s="17"/>
    </row>
    <row r="48" spans="1:33">
      <c r="A48" s="53"/>
      <c r="B48" s="53"/>
      <c r="C48" s="53"/>
      <c r="D48" s="54"/>
      <c r="E48" s="54"/>
      <c r="F48" s="54"/>
      <c r="G48" s="54"/>
      <c r="H48" s="30"/>
      <c r="I48" s="30"/>
      <c r="J48" s="53"/>
      <c r="K48" s="59">
        <v>22</v>
      </c>
      <c r="L48" s="53"/>
      <c r="M48" s="53"/>
      <c r="N48" s="53"/>
      <c r="O48" s="53"/>
      <c r="P48" s="53"/>
      <c r="Q48" s="53"/>
      <c r="R48" s="53"/>
      <c r="S48" s="53"/>
      <c r="T48" s="53"/>
      <c r="U48" s="30"/>
      <c r="V48" s="30"/>
      <c r="W48" s="30"/>
      <c r="X48" s="30"/>
      <c r="Y48" s="30"/>
      <c r="Z48" s="17"/>
      <c r="AA48" s="17"/>
      <c r="AB48" s="17"/>
      <c r="AC48" s="17"/>
      <c r="AD48" s="17"/>
      <c r="AE48" s="17"/>
      <c r="AF48" s="17"/>
      <c r="AG48" s="17"/>
    </row>
    <row r="49" spans="1:33">
      <c r="A49" s="53"/>
      <c r="B49" s="53"/>
      <c r="C49" s="53"/>
      <c r="D49" s="54"/>
      <c r="E49" s="54"/>
      <c r="F49" s="54"/>
      <c r="G49" s="54"/>
      <c r="H49" s="30"/>
      <c r="I49" s="30"/>
      <c r="J49" s="53"/>
      <c r="K49" s="59">
        <v>30</v>
      </c>
      <c r="L49" s="53"/>
      <c r="M49" s="53"/>
      <c r="N49" s="53"/>
      <c r="O49" s="53"/>
      <c r="P49" s="53"/>
      <c r="Q49" s="53"/>
      <c r="R49" s="53"/>
      <c r="S49" s="53"/>
      <c r="T49" s="53"/>
      <c r="U49" s="30"/>
      <c r="V49" s="30"/>
      <c r="W49" s="30"/>
      <c r="X49" s="30"/>
      <c r="Y49" s="30"/>
      <c r="Z49" s="17"/>
      <c r="AA49" s="17"/>
      <c r="AB49" s="17"/>
      <c r="AC49" s="17"/>
      <c r="AD49" s="17"/>
      <c r="AE49" s="17"/>
      <c r="AF49" s="17"/>
      <c r="AG49" s="17"/>
    </row>
    <row r="50" spans="1:33">
      <c r="A50" s="53"/>
      <c r="B50" s="53"/>
      <c r="C50" s="53"/>
      <c r="D50" s="54"/>
      <c r="E50" s="54"/>
      <c r="F50" s="54"/>
      <c r="G50" s="54"/>
      <c r="H50" s="30"/>
      <c r="I50" s="30"/>
      <c r="J50" s="53"/>
      <c r="K50" s="59">
        <v>33</v>
      </c>
      <c r="L50" s="53"/>
      <c r="M50" s="53"/>
      <c r="N50" s="53"/>
      <c r="O50" s="53"/>
      <c r="P50" s="53"/>
      <c r="Q50" s="53"/>
      <c r="R50" s="53"/>
      <c r="S50" s="53"/>
      <c r="T50" s="53"/>
      <c r="U50" s="30"/>
      <c r="V50" s="30"/>
      <c r="W50" s="30"/>
      <c r="X50" s="30"/>
      <c r="Y50" s="30"/>
      <c r="Z50" s="17"/>
      <c r="AA50" s="17"/>
      <c r="AB50" s="17"/>
      <c r="AC50" s="17"/>
      <c r="AD50" s="17"/>
      <c r="AE50" s="17"/>
      <c r="AF50" s="17"/>
      <c r="AG50" s="17"/>
    </row>
    <row r="51" spans="1:33">
      <c r="A51" s="53"/>
      <c r="B51" s="53"/>
      <c r="C51" s="53"/>
      <c r="D51" s="54"/>
      <c r="E51" s="54"/>
      <c r="F51" s="54"/>
      <c r="G51" s="54"/>
      <c r="H51" s="30"/>
      <c r="I51" s="30"/>
      <c r="J51" s="53"/>
      <c r="K51" s="58" t="s">
        <v>201</v>
      </c>
      <c r="L51" s="53"/>
      <c r="M51" s="53"/>
      <c r="N51" s="53"/>
      <c r="O51" s="53"/>
      <c r="P51" s="53"/>
      <c r="Q51" s="53"/>
      <c r="R51" s="53"/>
      <c r="S51" s="53"/>
      <c r="T51" s="53"/>
      <c r="U51" s="30"/>
      <c r="V51" s="30"/>
      <c r="W51" s="30"/>
      <c r="X51" s="30"/>
      <c r="Y51" s="30"/>
      <c r="Z51" s="17"/>
      <c r="AA51" s="17"/>
      <c r="AB51" s="17"/>
      <c r="AC51" s="17"/>
      <c r="AD51" s="17"/>
      <c r="AE51" s="17"/>
      <c r="AF51" s="17"/>
      <c r="AG51" s="17"/>
    </row>
    <row r="52" spans="1:33">
      <c r="A52" s="53"/>
      <c r="B52" s="53"/>
      <c r="C52" s="53"/>
      <c r="D52" s="54"/>
      <c r="E52" s="54"/>
      <c r="F52" s="54"/>
      <c r="G52" s="54"/>
      <c r="H52" s="30"/>
      <c r="I52" s="30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30"/>
      <c r="V52" s="30"/>
      <c r="W52" s="30"/>
      <c r="X52" s="30"/>
      <c r="Y52" s="30"/>
      <c r="Z52" s="17"/>
      <c r="AA52" s="17"/>
      <c r="AB52" s="17"/>
      <c r="AC52" s="17"/>
      <c r="AD52" s="17"/>
      <c r="AE52" s="17"/>
      <c r="AF52" s="17"/>
      <c r="AG52" s="17"/>
    </row>
    <row r="53" spans="1:33">
      <c r="A53" s="53"/>
      <c r="B53" s="53"/>
      <c r="C53" s="53"/>
      <c r="D53" s="54"/>
      <c r="E53" s="54"/>
      <c r="F53" s="54"/>
      <c r="G53" s="54"/>
      <c r="H53" s="30"/>
      <c r="I53" s="30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30"/>
      <c r="V53" s="30"/>
      <c r="W53" s="30"/>
      <c r="X53" s="30"/>
      <c r="Y53" s="30"/>
      <c r="Z53" s="17"/>
      <c r="AA53" s="17"/>
      <c r="AB53" s="17"/>
      <c r="AC53" s="17"/>
      <c r="AD53" s="17"/>
      <c r="AE53" s="17"/>
      <c r="AF53" s="17"/>
      <c r="AG53" s="17"/>
    </row>
    <row r="54" spans="1:33">
      <c r="A54" s="53"/>
      <c r="B54" s="53"/>
      <c r="C54" s="53"/>
      <c r="D54" s="54"/>
      <c r="E54" s="54"/>
      <c r="F54" s="54"/>
      <c r="G54" s="54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17"/>
      <c r="AA54" s="17"/>
      <c r="AB54" s="17"/>
      <c r="AC54" s="17"/>
      <c r="AD54" s="17"/>
      <c r="AE54" s="17"/>
      <c r="AF54" s="17"/>
      <c r="AG54" s="17"/>
    </row>
    <row r="55" spans="1:33">
      <c r="A55" s="53"/>
      <c r="B55" s="53"/>
      <c r="C55" s="53"/>
      <c r="D55" s="54"/>
      <c r="E55" s="54"/>
      <c r="F55" s="54"/>
      <c r="G55" s="5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17"/>
      <c r="AA55" s="17"/>
      <c r="AB55" s="17"/>
      <c r="AC55" s="17"/>
      <c r="AD55" s="17"/>
      <c r="AE55" s="17"/>
      <c r="AF55" s="17"/>
      <c r="AG55" s="17"/>
    </row>
    <row r="56" spans="1:33">
      <c r="A56" s="53"/>
      <c r="B56" s="53"/>
      <c r="C56" s="53"/>
      <c r="D56" s="54"/>
      <c r="E56" s="54"/>
      <c r="F56" s="54"/>
      <c r="G56" s="54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17"/>
      <c r="AA56" s="17"/>
      <c r="AB56" s="17"/>
      <c r="AC56" s="17"/>
      <c r="AD56" s="17"/>
      <c r="AE56" s="17"/>
      <c r="AF56" s="17"/>
      <c r="AG56" s="17"/>
    </row>
  </sheetData>
  <sheetProtection password="C71A" sheet="1" objects="1" scenarios="1"/>
  <customSheetViews>
    <customSheetView guid="{EE5C2B4E-0986-4484-AC0A-003A1AA7501D}">
      <pageMargins left="0.7" right="0.7" top="0.75" bottom="0.75" header="0.3" footer="0.3"/>
      <pageSetup paperSize="9" orientation="portrait" r:id="rId1"/>
    </customSheetView>
    <customSheetView guid="{20FA67BD-9BBC-4ED6-BBAA-373F6BCF607B}" scale="130">
      <selection activeCell="E11" sqref="E11"/>
      <pageMargins left="0.7" right="0.7" top="0.75" bottom="0.75" header="0.3" footer="0.3"/>
      <pageSetup paperSize="9" orientation="portrait" r:id="rId2"/>
    </customSheetView>
    <customSheetView guid="{7D664F49-CBB3-4B83-A19B-05FCB4570C5D}">
      <selection activeCell="S18" sqref="S18"/>
      <pageMargins left="0.7" right="0.7" top="0.75" bottom="0.75" header="0.3" footer="0.3"/>
      <pageSetup paperSize="9" orientation="portrait" r:id="rId3"/>
    </customSheetView>
    <customSheetView guid="{11D08DB2-E31A-4B7D-96E3-15D146D9C90A}">
      <pageMargins left="0.7" right="0.7" top="0.75" bottom="0.75" header="0.3" footer="0.3"/>
      <pageSetup paperSize="9" orientation="portrait" r:id="rId4"/>
    </customSheetView>
  </customSheetViews>
  <mergeCells count="26">
    <mergeCell ref="G14:I14"/>
    <mergeCell ref="C2:E2"/>
    <mergeCell ref="C3:E3"/>
    <mergeCell ref="C4:J4"/>
    <mergeCell ref="C14:E14"/>
    <mergeCell ref="C13:E13"/>
    <mergeCell ref="C12:E12"/>
    <mergeCell ref="C11:E11"/>
    <mergeCell ref="C10:E10"/>
    <mergeCell ref="H13:I13"/>
    <mergeCell ref="H8:I8"/>
    <mergeCell ref="H9:I9"/>
    <mergeCell ref="H10:I10"/>
    <mergeCell ref="H11:I11"/>
    <mergeCell ref="H12:I12"/>
    <mergeCell ref="C7:E7"/>
    <mergeCell ref="H15:I15"/>
    <mergeCell ref="C15:E15"/>
    <mergeCell ref="F8:G8"/>
    <mergeCell ref="F9:G9"/>
    <mergeCell ref="F10:G10"/>
    <mergeCell ref="F11:G11"/>
    <mergeCell ref="F12:G12"/>
    <mergeCell ref="F13:G13"/>
    <mergeCell ref="C8:E8"/>
    <mergeCell ref="C9:E9"/>
  </mergeCells>
  <pageMargins left="0.7" right="0.7" top="0.75" bottom="0.75" header="0.3" footer="0.3"/>
  <pageSetup paperSize="9" orientation="portrait" r:id="rId5"/>
  <drawing r:id="rId6"/>
  <legacyDrawing r:id="rId7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4"/>
  <dimension ref="A1:U34"/>
  <sheetViews>
    <sheetView zoomScale="120" zoomScaleNormal="120" workbookViewId="0">
      <selection activeCell="E7" sqref="E7"/>
    </sheetView>
  </sheetViews>
  <sheetFormatPr defaultColWidth="9.109375" defaultRowHeight="13.8"/>
  <cols>
    <col min="1" max="1" width="9.109375" style="19"/>
    <col min="2" max="2" width="8" style="19" customWidth="1"/>
    <col min="3" max="3" width="23.33203125" style="37" customWidth="1"/>
    <col min="4" max="4" width="15.88671875" style="37" customWidth="1"/>
    <col min="5" max="5" width="41.33203125" style="19" customWidth="1"/>
    <col min="6" max="6" width="8.88671875" style="19" customWidth="1"/>
    <col min="7" max="7" width="10" style="19" customWidth="1"/>
    <col min="8" max="8" width="5" style="19" customWidth="1"/>
    <col min="9" max="9" width="1.88671875" style="19" customWidth="1"/>
    <col min="10" max="10" width="6.44140625" style="19" customWidth="1"/>
    <col min="11" max="11" width="1.88671875" style="19" customWidth="1"/>
    <col min="12" max="12" width="6.109375" style="19" customWidth="1"/>
    <col min="13" max="16384" width="9.109375" style="19"/>
  </cols>
  <sheetData>
    <row r="1" spans="1:21" ht="45" customHeight="1">
      <c r="A1" s="17"/>
      <c r="B1" s="17"/>
      <c r="C1" s="20" t="s">
        <v>202</v>
      </c>
      <c r="D1" s="20"/>
      <c r="E1" s="20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</row>
    <row r="2" spans="1:21" ht="32.25" customHeight="1">
      <c r="A2" s="17"/>
      <c r="B2" s="17"/>
      <c r="C2" s="21" t="s">
        <v>216</v>
      </c>
      <c r="D2" s="21"/>
      <c r="E2" s="21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</row>
    <row r="3" spans="1:21">
      <c r="A3" s="17"/>
      <c r="B3" s="17"/>
      <c r="C3" s="18"/>
      <c r="D3" s="22"/>
      <c r="E3" s="17"/>
      <c r="F3" s="17"/>
      <c r="G3" s="38"/>
      <c r="H3" s="17" t="s">
        <v>217</v>
      </c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</row>
    <row r="4" spans="1:21">
      <c r="A4" s="17"/>
      <c r="B4" s="17"/>
      <c r="C4" s="18"/>
      <c r="D4" s="18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</row>
    <row r="5" spans="1:21">
      <c r="A5" s="17"/>
      <c r="B5" s="17"/>
      <c r="C5" s="23"/>
      <c r="D5" s="18"/>
      <c r="E5" s="17"/>
      <c r="F5" s="17"/>
      <c r="G5" s="24" t="s">
        <v>204</v>
      </c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</row>
    <row r="6" spans="1:21" ht="27.75" customHeight="1">
      <c r="A6" s="17"/>
      <c r="B6" s="17"/>
      <c r="C6" s="25" t="s">
        <v>60</v>
      </c>
      <c r="D6" s="26"/>
      <c r="E6" s="27"/>
      <c r="F6" s="17"/>
      <c r="G6" s="25" t="s">
        <v>218</v>
      </c>
      <c r="H6" s="40">
        <v>10</v>
      </c>
      <c r="I6" s="25" t="s">
        <v>20</v>
      </c>
      <c r="J6" s="40">
        <v>10</v>
      </c>
      <c r="K6" s="27" t="s">
        <v>20</v>
      </c>
      <c r="L6" s="27">
        <v>10</v>
      </c>
      <c r="M6" s="29"/>
      <c r="N6" s="29"/>
      <c r="O6" s="17"/>
      <c r="P6" s="17"/>
      <c r="Q6" s="17"/>
      <c r="R6" s="17"/>
      <c r="S6" s="17"/>
      <c r="T6" s="17"/>
      <c r="U6" s="17"/>
    </row>
    <row r="7" spans="1:21" ht="28.5" customHeight="1">
      <c r="A7" s="17"/>
      <c r="B7" s="30"/>
      <c r="C7" s="31" t="s">
        <v>141</v>
      </c>
      <c r="D7" s="31" t="s">
        <v>12</v>
      </c>
      <c r="E7" s="32">
        <f>_!G240</f>
        <v>16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1" ht="28.5" customHeight="1">
      <c r="A8" s="17"/>
      <c r="B8" s="30"/>
      <c r="C8" s="33" t="s">
        <v>147</v>
      </c>
      <c r="D8" s="33" t="s">
        <v>205</v>
      </c>
      <c r="E8" s="34">
        <f>_!L240</f>
        <v>0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</row>
    <row r="9" spans="1:21" ht="28.5" customHeight="1">
      <c r="A9" s="17"/>
      <c r="B9" s="30"/>
      <c r="C9" s="33" t="s">
        <v>145</v>
      </c>
      <c r="D9" s="33" t="s">
        <v>5</v>
      </c>
      <c r="E9" s="34">
        <f>_!H240</f>
        <v>0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</row>
    <row r="10" spans="1:21" ht="28.5" customHeight="1">
      <c r="A10" s="17"/>
      <c r="B10" s="30"/>
      <c r="C10" s="33" t="s">
        <v>146</v>
      </c>
      <c r="D10" s="33" t="s">
        <v>206</v>
      </c>
      <c r="E10" s="34">
        <f>_!I240</f>
        <v>8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</row>
    <row r="11" spans="1:21" ht="28.5" customHeight="1">
      <c r="A11" s="17"/>
      <c r="B11" s="30"/>
      <c r="C11" s="33" t="s">
        <v>146</v>
      </c>
      <c r="D11" s="33" t="s">
        <v>207</v>
      </c>
      <c r="E11" s="34">
        <f>_!K240</f>
        <v>0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</row>
    <row r="12" spans="1:21" ht="28.5" customHeight="1">
      <c r="A12" s="17"/>
      <c r="B12" s="30"/>
      <c r="C12" s="33" t="s">
        <v>146</v>
      </c>
      <c r="D12" s="33" t="s">
        <v>208</v>
      </c>
      <c r="E12" s="34">
        <f>_!J240</f>
        <v>0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</row>
    <row r="13" spans="1:21" ht="28.5" customHeight="1">
      <c r="A13" s="17"/>
      <c r="B13" s="30"/>
      <c r="C13" s="35"/>
      <c r="D13" s="35"/>
      <c r="E13" s="28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</row>
    <row r="14" spans="1:21" ht="35.1" customHeight="1">
      <c r="A14" s="17"/>
      <c r="B14" s="17"/>
      <c r="C14" s="25" t="s">
        <v>210</v>
      </c>
      <c r="D14" s="25"/>
      <c r="E14" s="36">
        <f>_!AF219</f>
        <v>154.56841638699998</v>
      </c>
      <c r="F14" s="17"/>
      <c r="G14" s="30"/>
      <c r="H14" s="30"/>
      <c r="I14" s="30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</row>
    <row r="15" spans="1:21">
      <c r="A15" s="17"/>
      <c r="B15" s="17"/>
      <c r="C15" s="18"/>
      <c r="D15" s="18"/>
      <c r="E15" s="17"/>
      <c r="F15" s="17"/>
      <c r="G15" s="39"/>
      <c r="H15" s="39"/>
      <c r="I15" s="39"/>
      <c r="J15" s="39"/>
      <c r="K15" s="39"/>
      <c r="L15" s="39"/>
      <c r="M15" s="39"/>
      <c r="N15" s="39"/>
      <c r="O15" s="17"/>
      <c r="P15" s="17"/>
      <c r="Q15" s="17"/>
      <c r="R15" s="17"/>
      <c r="S15" s="17"/>
      <c r="T15" s="17"/>
      <c r="U15" s="17"/>
    </row>
    <row r="16" spans="1:21">
      <c r="A16" s="17"/>
      <c r="B16" s="17"/>
      <c r="C16" s="18"/>
      <c r="D16" s="18"/>
      <c r="E16" s="17"/>
      <c r="F16" s="17"/>
      <c r="G16" s="30"/>
      <c r="H16" s="30"/>
      <c r="I16" s="30"/>
      <c r="J16" s="30"/>
      <c r="K16" s="30"/>
      <c r="L16" s="30"/>
      <c r="M16" s="30"/>
      <c r="N16" s="30"/>
      <c r="O16" s="17"/>
      <c r="P16" s="17"/>
      <c r="Q16" s="17"/>
      <c r="R16" s="17"/>
      <c r="S16" s="17"/>
      <c r="T16" s="17"/>
      <c r="U16" s="17"/>
    </row>
    <row r="17" spans="1:21">
      <c r="A17" s="17"/>
      <c r="B17" s="17"/>
      <c r="C17" s="18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</row>
    <row r="18" spans="1:21">
      <c r="A18" s="17"/>
      <c r="B18" s="17"/>
      <c r="C18" s="18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</row>
    <row r="19" spans="1:21">
      <c r="A19" s="17"/>
      <c r="B19" s="17"/>
      <c r="C19" s="18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</row>
    <row r="20" spans="1:21">
      <c r="A20" s="17"/>
      <c r="B20" s="17"/>
      <c r="C20" s="18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</row>
    <row r="21" spans="1:21">
      <c r="A21" s="17"/>
      <c r="B21" s="17"/>
      <c r="C21" s="18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</row>
    <row r="22" spans="1:21">
      <c r="A22" s="17"/>
      <c r="B22" s="17"/>
      <c r="C22" s="18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</row>
    <row r="23" spans="1:21">
      <c r="A23" s="17"/>
      <c r="B23" s="17"/>
      <c r="C23" s="18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</row>
    <row r="24" spans="1:21">
      <c r="A24" s="17"/>
      <c r="B24" s="17"/>
      <c r="C24" s="18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</row>
    <row r="25" spans="1:21">
      <c r="A25" s="17"/>
      <c r="B25" s="17"/>
      <c r="C25" s="18"/>
      <c r="D25" s="18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</row>
    <row r="26" spans="1:21">
      <c r="A26" s="17"/>
      <c r="B26" s="17"/>
      <c r="C26" s="18"/>
      <c r="D26" s="18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</row>
    <row r="27" spans="1:21">
      <c r="A27" s="17"/>
      <c r="B27" s="17"/>
      <c r="C27" s="18"/>
      <c r="D27" s="18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</row>
    <row r="28" spans="1:21">
      <c r="A28" s="17"/>
      <c r="B28" s="17"/>
      <c r="C28" s="18"/>
      <c r="D28" s="18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</row>
    <row r="29" spans="1:21">
      <c r="A29" s="17"/>
      <c r="B29" s="17"/>
      <c r="C29" s="18"/>
      <c r="D29" s="18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</row>
    <row r="30" spans="1:21">
      <c r="A30" s="17"/>
      <c r="B30" s="17"/>
      <c r="C30" s="18"/>
      <c r="D30" s="18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</row>
    <row r="31" spans="1:21">
      <c r="A31" s="17"/>
      <c r="B31" s="17"/>
      <c r="C31" s="18"/>
      <c r="D31" s="18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</row>
    <row r="32" spans="1:21">
      <c r="A32" s="17"/>
      <c r="B32" s="17"/>
      <c r="C32" s="18"/>
      <c r="D32" s="18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</row>
    <row r="33" spans="1:21">
      <c r="A33" s="17"/>
      <c r="B33" s="17"/>
      <c r="C33" s="18"/>
      <c r="D33" s="18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</row>
    <row r="34" spans="1:21">
      <c r="A34" s="17"/>
      <c r="B34" s="17"/>
      <c r="C34" s="18"/>
      <c r="D34" s="18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</row>
  </sheetData>
  <sheetProtection password="C71A" sheet="1"/>
  <customSheetViews>
    <customSheetView guid="{EE5C2B4E-0986-4484-AC0A-003A1AA7501D}" scale="120" state="hidden">
      <selection activeCell="E7" sqref="E7"/>
      <pageMargins left="0.7" right="0.7" top="0.75" bottom="0.75" header="0.3" footer="0.3"/>
      <pageSetup paperSize="9" orientation="portrait" r:id="rId1"/>
    </customSheetView>
    <customSheetView guid="{7D664F49-CBB3-4B83-A19B-05FCB4570C5D}" scale="120" state="hidden">
      <selection activeCell="E7" sqref="E7"/>
      <pageMargins left="0.7" right="0.7" top="0.75" bottom="0.75" header="0.3" footer="0.3"/>
      <pageSetup paperSize="9" orientation="portrait" r:id="rId2"/>
    </customSheetView>
    <customSheetView guid="{11D08DB2-E31A-4B7D-96E3-15D146D9C90A}" scale="120" state="hidden">
      <selection activeCell="E7" sqref="E7"/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  <pageSetup paperSize="9" orientation="portrait" r:id="rId4"/>
  <drawing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6"/>
  <dimension ref="A1:U34"/>
  <sheetViews>
    <sheetView zoomScaleNormal="100" workbookViewId="0"/>
  </sheetViews>
  <sheetFormatPr defaultColWidth="9.109375" defaultRowHeight="13.8"/>
  <cols>
    <col min="1" max="1" width="9.109375" style="19"/>
    <col min="2" max="2" width="8" style="19" customWidth="1"/>
    <col min="3" max="3" width="23.33203125" style="37" customWidth="1"/>
    <col min="4" max="4" width="15.88671875" style="37" customWidth="1"/>
    <col min="5" max="5" width="41.33203125" style="19" customWidth="1"/>
    <col min="6" max="6" width="8.88671875" style="19" customWidth="1"/>
    <col min="7" max="7" width="10" style="19" customWidth="1"/>
    <col min="8" max="8" width="5" style="19" customWidth="1"/>
    <col min="9" max="9" width="1.88671875" style="19" customWidth="1"/>
    <col min="10" max="10" width="6.44140625" style="19" customWidth="1"/>
    <col min="11" max="11" width="1.88671875" style="19" customWidth="1"/>
    <col min="12" max="12" width="6.109375" style="19" customWidth="1"/>
    <col min="13" max="16384" width="9.109375" style="19"/>
  </cols>
  <sheetData>
    <row r="1" spans="1:21" ht="45" customHeight="1">
      <c r="A1" s="17"/>
      <c r="B1" s="17"/>
      <c r="C1" s="20" t="s">
        <v>202</v>
      </c>
      <c r="D1" s="20"/>
      <c r="E1" s="20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</row>
    <row r="2" spans="1:21" ht="32.25" customHeight="1">
      <c r="A2" s="17"/>
      <c r="B2" s="17"/>
      <c r="C2" s="21" t="s">
        <v>219</v>
      </c>
      <c r="D2" s="21"/>
      <c r="E2" s="21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</row>
    <row r="3" spans="1:21">
      <c r="A3" s="17"/>
      <c r="B3" s="17"/>
      <c r="C3" s="18"/>
      <c r="D3" s="22"/>
      <c r="E3" s="17"/>
      <c r="F3" s="17"/>
      <c r="G3" s="38"/>
      <c r="H3" s="17" t="s">
        <v>217</v>
      </c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</row>
    <row r="4" spans="1:21">
      <c r="A4" s="17"/>
      <c r="B4" s="17"/>
      <c r="C4" s="18"/>
      <c r="D4" s="18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</row>
    <row r="5" spans="1:21">
      <c r="A5" s="17"/>
      <c r="B5" s="17"/>
      <c r="C5" s="23"/>
      <c r="D5" s="18"/>
      <c r="E5" s="17"/>
      <c r="F5" s="17"/>
      <c r="G5" s="24" t="s">
        <v>204</v>
      </c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</row>
    <row r="6" spans="1:21" ht="27.75" customHeight="1">
      <c r="A6" s="17"/>
      <c r="B6" s="17"/>
      <c r="C6" s="25" t="s">
        <v>60</v>
      </c>
      <c r="D6" s="26"/>
      <c r="E6" s="27"/>
      <c r="F6" s="17"/>
      <c r="G6" s="25" t="s">
        <v>220</v>
      </c>
      <c r="H6" s="40">
        <v>10</v>
      </c>
      <c r="I6" s="25" t="s">
        <v>20</v>
      </c>
      <c r="J6" s="40" t="s">
        <v>229</v>
      </c>
      <c r="K6" s="27" t="s">
        <v>20</v>
      </c>
      <c r="L6" s="25">
        <v>4</v>
      </c>
      <c r="M6" s="29"/>
      <c r="N6" s="29"/>
      <c r="O6" s="17"/>
      <c r="P6" s="17"/>
      <c r="Q6" s="17"/>
      <c r="R6" s="17"/>
      <c r="S6" s="17"/>
      <c r="T6" s="17"/>
      <c r="U6" s="17"/>
    </row>
    <row r="7" spans="1:21" ht="28.5" customHeight="1">
      <c r="A7" s="17"/>
      <c r="B7" s="30"/>
      <c r="C7" s="31" t="s">
        <v>141</v>
      </c>
      <c r="D7" s="31" t="s">
        <v>12</v>
      </c>
      <c r="E7" s="32">
        <f>_!G273</f>
        <v>0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1" ht="28.5" customHeight="1">
      <c r="A8" s="17"/>
      <c r="B8" s="30"/>
      <c r="C8" s="33" t="s">
        <v>147</v>
      </c>
      <c r="D8" s="33" t="s">
        <v>205</v>
      </c>
      <c r="E8" s="34">
        <f>_!L273</f>
        <v>0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</row>
    <row r="9" spans="1:21" ht="28.5" customHeight="1">
      <c r="A9" s="17"/>
      <c r="B9" s="30"/>
      <c r="C9" s="33" t="s">
        <v>145</v>
      </c>
      <c r="D9" s="33" t="s">
        <v>5</v>
      </c>
      <c r="E9" s="34">
        <f>_!H273</f>
        <v>0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</row>
    <row r="10" spans="1:21" ht="28.5" customHeight="1">
      <c r="A10" s="17"/>
      <c r="B10" s="30"/>
      <c r="C10" s="33" t="s">
        <v>146</v>
      </c>
      <c r="D10" s="33" t="s">
        <v>206</v>
      </c>
      <c r="E10" s="34">
        <f>_!I273</f>
        <v>12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</row>
    <row r="11" spans="1:21" ht="28.5" customHeight="1">
      <c r="A11" s="17"/>
      <c r="B11" s="30"/>
      <c r="C11" s="33" t="s">
        <v>146</v>
      </c>
      <c r="D11" s="33" t="s">
        <v>207</v>
      </c>
      <c r="E11" s="34">
        <f>_!K273</f>
        <v>0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</row>
    <row r="12" spans="1:21" ht="28.5" customHeight="1">
      <c r="A12" s="17"/>
      <c r="B12" s="30"/>
      <c r="C12" s="33" t="s">
        <v>146</v>
      </c>
      <c r="D12" s="33" t="s">
        <v>208</v>
      </c>
      <c r="E12" s="34">
        <f>_!J273</f>
        <v>0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</row>
    <row r="13" spans="1:21" ht="28.5" customHeight="1">
      <c r="A13" s="17"/>
      <c r="B13" s="30"/>
      <c r="C13" s="35"/>
      <c r="D13" s="35"/>
      <c r="E13" s="28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</row>
    <row r="14" spans="1:21" ht="35.1" customHeight="1">
      <c r="A14" s="17"/>
      <c r="B14" s="17"/>
      <c r="C14" s="25" t="s">
        <v>210</v>
      </c>
      <c r="D14" s="25"/>
      <c r="E14" s="36">
        <f>_!AF252</f>
        <v>88.128534926249998</v>
      </c>
      <c r="F14" s="17"/>
      <c r="G14" s="30"/>
      <c r="H14" s="30"/>
      <c r="I14" s="30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</row>
    <row r="15" spans="1:21">
      <c r="A15" s="17"/>
      <c r="B15" s="17"/>
      <c r="C15" s="18"/>
      <c r="D15" s="18"/>
      <c r="E15" s="17"/>
      <c r="F15" s="17"/>
      <c r="G15" s="39"/>
      <c r="H15" s="39"/>
      <c r="I15" s="39"/>
      <c r="J15" s="39"/>
      <c r="K15" s="39"/>
      <c r="L15" s="39"/>
      <c r="M15" s="39"/>
      <c r="N15" s="39"/>
      <c r="O15" s="17"/>
      <c r="P15" s="17"/>
      <c r="Q15" s="17"/>
      <c r="R15" s="17"/>
      <c r="S15" s="17"/>
      <c r="T15" s="17"/>
      <c r="U15" s="17"/>
    </row>
    <row r="16" spans="1:21">
      <c r="A16" s="17"/>
      <c r="B16" s="17"/>
      <c r="C16" s="18"/>
      <c r="D16" s="18"/>
      <c r="E16" s="17"/>
      <c r="F16" s="17"/>
      <c r="G16" s="30"/>
      <c r="H16" s="30"/>
      <c r="I16" s="30"/>
      <c r="J16" s="30"/>
      <c r="K16" s="30"/>
      <c r="L16" s="30"/>
      <c r="M16" s="30"/>
      <c r="N16" s="30"/>
      <c r="O16" s="17"/>
      <c r="P16" s="17"/>
      <c r="Q16" s="17"/>
      <c r="R16" s="17"/>
      <c r="S16" s="17"/>
      <c r="T16" s="17"/>
      <c r="U16" s="17"/>
    </row>
    <row r="17" spans="1:21">
      <c r="A17" s="17"/>
      <c r="B17" s="17"/>
      <c r="C17" s="18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</row>
    <row r="18" spans="1:21">
      <c r="A18" s="17"/>
      <c r="B18" s="17"/>
      <c r="C18" s="18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</row>
    <row r="19" spans="1:21">
      <c r="A19" s="17"/>
      <c r="B19" s="17"/>
      <c r="C19" s="18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</row>
    <row r="20" spans="1:21">
      <c r="A20" s="17"/>
      <c r="B20" s="17"/>
      <c r="C20" s="18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</row>
    <row r="21" spans="1:21">
      <c r="A21" s="17"/>
      <c r="B21" s="17"/>
      <c r="C21" s="18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</row>
    <row r="22" spans="1:21">
      <c r="A22" s="17"/>
      <c r="B22" s="17"/>
      <c r="C22" s="18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</row>
    <row r="23" spans="1:21">
      <c r="A23" s="17"/>
      <c r="B23" s="17"/>
      <c r="C23" s="18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</row>
    <row r="24" spans="1:21">
      <c r="A24" s="17"/>
      <c r="B24" s="17"/>
      <c r="C24" s="18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</row>
    <row r="25" spans="1:21">
      <c r="A25" s="17"/>
      <c r="B25" s="17"/>
      <c r="C25" s="18"/>
      <c r="D25" s="18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</row>
    <row r="26" spans="1:21">
      <c r="A26" s="17"/>
      <c r="B26" s="17"/>
      <c r="C26" s="18"/>
      <c r="D26" s="18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</row>
    <row r="27" spans="1:21">
      <c r="A27" s="17"/>
      <c r="B27" s="17"/>
      <c r="C27" s="18"/>
      <c r="D27" s="18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</row>
    <row r="28" spans="1:21">
      <c r="A28" s="17"/>
      <c r="B28" s="17"/>
      <c r="C28" s="18"/>
      <c r="D28" s="18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</row>
    <row r="29" spans="1:21">
      <c r="A29" s="17"/>
      <c r="B29" s="17"/>
      <c r="C29" s="18"/>
      <c r="D29" s="18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</row>
    <row r="30" spans="1:21">
      <c r="A30" s="17"/>
      <c r="B30" s="17"/>
      <c r="C30" s="18"/>
      <c r="D30" s="18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</row>
    <row r="31" spans="1:21">
      <c r="A31" s="17"/>
      <c r="B31" s="17"/>
      <c r="C31" s="18"/>
      <c r="D31" s="18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</row>
    <row r="32" spans="1:21">
      <c r="A32" s="17"/>
      <c r="B32" s="17"/>
      <c r="C32" s="18"/>
      <c r="D32" s="18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</row>
    <row r="33" spans="1:21">
      <c r="A33" s="17"/>
      <c r="B33" s="17"/>
      <c r="C33" s="18"/>
      <c r="D33" s="18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</row>
    <row r="34" spans="1:21">
      <c r="A34" s="17"/>
      <c r="B34" s="17"/>
      <c r="C34" s="18"/>
      <c r="D34" s="18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</row>
  </sheetData>
  <sheetProtection password="C71A" sheet="1" objects="1" scenarios="1"/>
  <customSheetViews>
    <customSheetView guid="{EE5C2B4E-0986-4484-AC0A-003A1AA7501D}" state="hidden">
      <pageMargins left="0.7" right="0.7" top="0.75" bottom="0.75" header="0.3" footer="0.3"/>
      <pageSetup paperSize="9" orientation="portrait" r:id="rId1"/>
    </customSheetView>
    <customSheetView guid="{7D664F49-CBB3-4B83-A19B-05FCB4570C5D}" state="hidden">
      <pageMargins left="0.7" right="0.7" top="0.75" bottom="0.75" header="0.3" footer="0.3"/>
      <pageSetup paperSize="9" orientation="portrait" r:id="rId2"/>
    </customSheetView>
    <customSheetView guid="{11D08DB2-E31A-4B7D-96E3-15D146D9C90A}" state="hidden"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  <pageSetup paperSize="9" orientation="portrait" r:id="rId4"/>
  <drawing r:id="rId5"/>
  <legacyDrawing r:id="rId6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2">
    <tabColor indexed="9"/>
  </sheetPr>
  <dimension ref="A1:H594"/>
  <sheetViews>
    <sheetView workbookViewId="0">
      <selection activeCell="H20" sqref="H20:H22"/>
    </sheetView>
  </sheetViews>
  <sheetFormatPr defaultColWidth="9.109375" defaultRowHeight="14.4"/>
  <cols>
    <col min="1" max="16384" width="9.109375" style="7"/>
  </cols>
  <sheetData>
    <row r="1" spans="1:8" ht="12.75" customHeight="1"/>
    <row r="2" spans="1:8" ht="12.75" customHeight="1"/>
    <row r="3" spans="1:8" ht="12.75" customHeight="1"/>
    <row r="4" spans="1:8" ht="12.75" customHeight="1"/>
    <row r="5" spans="1:8" ht="12.75" customHeight="1"/>
    <row r="6" spans="1:8" ht="12.75" customHeight="1"/>
    <row r="7" spans="1:8" ht="12.75" customHeight="1"/>
    <row r="8" spans="1:8" ht="12.75" customHeight="1"/>
    <row r="9" spans="1:8" ht="12.75" customHeight="1"/>
    <row r="10" spans="1:8" ht="12.75" customHeight="1"/>
    <row r="11" spans="1:8" ht="12.75" customHeight="1"/>
    <row r="12" spans="1:8" ht="12.75" customHeight="1"/>
    <row r="13" spans="1:8" ht="12.75" customHeight="1"/>
    <row r="14" spans="1:8" ht="12.75" customHeight="1"/>
    <row r="15" spans="1:8" ht="12.75" customHeight="1">
      <c r="A15" s="9" t="s">
        <v>8</v>
      </c>
      <c r="B15" s="8"/>
      <c r="C15" s="8"/>
      <c r="D15" s="150" t="s">
        <v>177</v>
      </c>
      <c r="E15" s="151"/>
      <c r="F15" s="151"/>
      <c r="G15" s="151"/>
      <c r="H15" s="151"/>
    </row>
    <row r="16" spans="1:8" ht="12.75" customHeight="1">
      <c r="A16" s="180" t="s">
        <v>241</v>
      </c>
      <c r="B16" s="181"/>
      <c r="C16" s="182"/>
      <c r="D16" s="186" t="s">
        <v>160</v>
      </c>
      <c r="E16" s="187"/>
      <c r="F16" s="187"/>
      <c r="G16" s="188"/>
      <c r="H16" s="194">
        <f>_!D12</f>
        <v>466.32</v>
      </c>
    </row>
    <row r="17" spans="1:8" ht="12.75" customHeight="1">
      <c r="A17" s="183"/>
      <c r="B17" s="184"/>
      <c r="C17" s="185"/>
      <c r="D17" s="189"/>
      <c r="E17" s="190"/>
      <c r="F17" s="190"/>
      <c r="G17" s="191"/>
      <c r="H17" s="195"/>
    </row>
    <row r="18" spans="1:8" ht="12.75" customHeight="1">
      <c r="A18" s="183"/>
      <c r="B18" s="184"/>
      <c r="C18" s="185"/>
      <c r="D18" s="189"/>
      <c r="E18" s="190"/>
      <c r="F18" s="190"/>
      <c r="G18" s="191"/>
      <c r="H18" s="195"/>
    </row>
    <row r="19" spans="1:8" ht="12.75" customHeight="1">
      <c r="A19" s="183"/>
      <c r="B19" s="184"/>
      <c r="C19" s="185"/>
      <c r="D19" s="189"/>
      <c r="E19" s="190"/>
      <c r="F19" s="190"/>
      <c r="G19" s="191"/>
      <c r="H19" s="195"/>
    </row>
    <row r="20" spans="1:8" ht="12.75" customHeight="1">
      <c r="A20" s="180" t="s">
        <v>242</v>
      </c>
      <c r="B20" s="181"/>
      <c r="C20" s="182"/>
      <c r="D20" s="186" t="s">
        <v>161</v>
      </c>
      <c r="E20" s="187"/>
      <c r="F20" s="187"/>
      <c r="G20" s="188"/>
      <c r="H20" s="194">
        <f>_!D13</f>
        <v>432.7</v>
      </c>
    </row>
    <row r="21" spans="1:8" ht="12.75" customHeight="1">
      <c r="A21" s="183"/>
      <c r="B21" s="184"/>
      <c r="C21" s="185"/>
      <c r="D21" s="189"/>
      <c r="E21" s="190"/>
      <c r="F21" s="190"/>
      <c r="G21" s="191"/>
      <c r="H21" s="195"/>
    </row>
    <row r="22" spans="1:8" ht="12.75" customHeight="1">
      <c r="A22" s="196"/>
      <c r="B22" s="197"/>
      <c r="C22" s="198"/>
      <c r="D22" s="200"/>
      <c r="E22" s="201"/>
      <c r="F22" s="201"/>
      <c r="G22" s="202"/>
      <c r="H22" s="199"/>
    </row>
    <row r="23" spans="1:8" ht="12.75" customHeight="1">
      <c r="A23" s="180" t="s">
        <v>243</v>
      </c>
      <c r="B23" s="181"/>
      <c r="C23" s="182"/>
      <c r="D23" s="186" t="s">
        <v>167</v>
      </c>
      <c r="E23" s="187"/>
      <c r="F23" s="187"/>
      <c r="G23" s="188"/>
      <c r="H23" s="194">
        <f>_!D14</f>
        <v>546.55999999999995</v>
      </c>
    </row>
    <row r="24" spans="1:8" ht="12.75" customHeight="1">
      <c r="A24" s="183"/>
      <c r="B24" s="184"/>
      <c r="C24" s="185"/>
      <c r="D24" s="189"/>
      <c r="E24" s="190"/>
      <c r="F24" s="190"/>
      <c r="G24" s="191"/>
      <c r="H24" s="195"/>
    </row>
    <row r="25" spans="1:8" ht="12.75" customHeight="1">
      <c r="A25" s="196"/>
      <c r="B25" s="197"/>
      <c r="C25" s="198"/>
      <c r="D25" s="200"/>
      <c r="E25" s="201"/>
      <c r="F25" s="201"/>
      <c r="G25" s="202"/>
      <c r="H25" s="199"/>
    </row>
    <row r="26" spans="1:8" ht="12.75" customHeight="1">
      <c r="A26" s="180" t="s">
        <v>244</v>
      </c>
      <c r="B26" s="181"/>
      <c r="C26" s="182"/>
      <c r="D26" s="186" t="s">
        <v>162</v>
      </c>
      <c r="E26" s="187"/>
      <c r="F26" s="187"/>
      <c r="G26" s="188"/>
      <c r="H26" s="194">
        <f>_!D15</f>
        <v>515.75</v>
      </c>
    </row>
    <row r="27" spans="1:8" ht="12.75" customHeight="1">
      <c r="A27" s="183"/>
      <c r="B27" s="184"/>
      <c r="C27" s="185"/>
      <c r="D27" s="189"/>
      <c r="E27" s="190"/>
      <c r="F27" s="190"/>
      <c r="G27" s="191"/>
      <c r="H27" s="195"/>
    </row>
    <row r="28" spans="1:8" ht="12.75" customHeight="1">
      <c r="A28" s="196"/>
      <c r="B28" s="197"/>
      <c r="C28" s="198"/>
      <c r="D28" s="200"/>
      <c r="E28" s="201"/>
      <c r="F28" s="201"/>
      <c r="G28" s="202"/>
      <c r="H28" s="199"/>
    </row>
    <row r="29" spans="1:8" ht="12.75" customHeight="1">
      <c r="A29" s="180" t="s">
        <v>245</v>
      </c>
      <c r="B29" s="181"/>
      <c r="C29" s="182"/>
      <c r="D29" s="186" t="s">
        <v>166</v>
      </c>
      <c r="E29" s="187"/>
      <c r="F29" s="187"/>
      <c r="G29" s="188"/>
      <c r="H29" s="192">
        <f>_!D16</f>
        <v>591.5</v>
      </c>
    </row>
    <row r="30" spans="1:8" ht="12.75" customHeight="1">
      <c r="A30" s="183"/>
      <c r="B30" s="184"/>
      <c r="C30" s="185"/>
      <c r="D30" s="189"/>
      <c r="E30" s="190"/>
      <c r="F30" s="190"/>
      <c r="G30" s="191"/>
      <c r="H30" s="192"/>
    </row>
    <row r="31" spans="1:8" ht="12.75" customHeight="1">
      <c r="A31" s="196"/>
      <c r="B31" s="197"/>
      <c r="C31" s="198"/>
      <c r="D31" s="200"/>
      <c r="E31" s="201"/>
      <c r="F31" s="201"/>
      <c r="G31" s="202"/>
      <c r="H31" s="193"/>
    </row>
    <row r="32" spans="1:8" ht="12.75" customHeight="1">
      <c r="A32" s="8"/>
      <c r="B32" s="8"/>
      <c r="C32" s="8"/>
      <c r="D32" s="8"/>
      <c r="E32" s="8"/>
      <c r="F32" s="8"/>
      <c r="G32" s="8"/>
      <c r="H32" s="8"/>
    </row>
    <row r="33" spans="1:8" ht="12.75" customHeight="1">
      <c r="A33" s="9" t="s">
        <v>60</v>
      </c>
      <c r="B33" s="8"/>
      <c r="C33" s="8"/>
      <c r="D33" s="8"/>
      <c r="E33" s="8"/>
      <c r="F33" s="8"/>
      <c r="G33" s="8"/>
      <c r="H33" s="8"/>
    </row>
    <row r="34" spans="1:8" ht="12.75" customHeight="1">
      <c r="A34" s="152" t="s">
        <v>65</v>
      </c>
      <c r="B34" s="157"/>
      <c r="C34" s="158"/>
      <c r="D34" s="153" t="s">
        <v>66</v>
      </c>
      <c r="E34" s="159"/>
      <c r="F34" s="159"/>
      <c r="G34" s="159"/>
      <c r="H34" s="160"/>
    </row>
    <row r="35" spans="1:8" ht="12.75" customHeight="1">
      <c r="A35" s="152" t="s">
        <v>61</v>
      </c>
      <c r="B35" s="157"/>
      <c r="C35" s="158"/>
      <c r="D35" s="153" t="s">
        <v>62</v>
      </c>
      <c r="E35" s="159"/>
      <c r="F35" s="159"/>
      <c r="G35" s="159"/>
      <c r="H35" s="160"/>
    </row>
    <row r="36" spans="1:8" ht="12.75" customHeight="1">
      <c r="A36" s="152" t="s">
        <v>63</v>
      </c>
      <c r="B36" s="157"/>
      <c r="C36" s="158"/>
      <c r="D36" s="153" t="s">
        <v>64</v>
      </c>
      <c r="E36" s="159"/>
      <c r="F36" s="159"/>
      <c r="G36" s="159"/>
      <c r="H36" s="160"/>
    </row>
    <row r="37" spans="1:8" ht="12.75" customHeight="1">
      <c r="A37" s="152" t="s">
        <v>159</v>
      </c>
      <c r="B37" s="157"/>
      <c r="C37" s="158"/>
      <c r="D37" s="153" t="s">
        <v>132</v>
      </c>
      <c r="E37" s="159"/>
      <c r="F37" s="159"/>
      <c r="G37" s="159"/>
      <c r="H37" s="160"/>
    </row>
    <row r="38" spans="1:8" ht="12.75" customHeight="1">
      <c r="A38" s="152" t="s">
        <v>128</v>
      </c>
      <c r="B38" s="157"/>
      <c r="C38" s="158"/>
      <c r="D38" s="153" t="s">
        <v>134</v>
      </c>
      <c r="E38" s="159"/>
      <c r="F38" s="159"/>
      <c r="G38" s="159"/>
      <c r="H38" s="160"/>
    </row>
    <row r="39" spans="1:8" ht="12.75" customHeight="1">
      <c r="A39" s="152" t="s">
        <v>130</v>
      </c>
      <c r="B39" s="157"/>
      <c r="C39" s="158"/>
      <c r="D39" s="153" t="s">
        <v>136</v>
      </c>
      <c r="E39" s="159"/>
      <c r="F39" s="159"/>
      <c r="G39" s="159"/>
      <c r="H39" s="160"/>
    </row>
    <row r="40" spans="1:8" ht="12.75" customHeight="1">
      <c r="A40" s="152" t="s">
        <v>129</v>
      </c>
      <c r="B40" s="157"/>
      <c r="C40" s="158"/>
      <c r="D40" s="153" t="s">
        <v>133</v>
      </c>
      <c r="E40" s="159"/>
      <c r="F40" s="159"/>
      <c r="G40" s="159"/>
      <c r="H40" s="160"/>
    </row>
    <row r="41" spans="1:8" ht="12.75" customHeight="1">
      <c r="A41" s="152" t="s">
        <v>131</v>
      </c>
      <c r="B41" s="157"/>
      <c r="C41" s="158"/>
      <c r="D41" s="153" t="s">
        <v>135</v>
      </c>
      <c r="E41" s="159"/>
      <c r="F41" s="159"/>
      <c r="G41" s="159"/>
      <c r="H41" s="160"/>
    </row>
    <row r="42" spans="1:8" ht="12.75" customHeight="1">
      <c r="A42" s="152" t="s">
        <v>6</v>
      </c>
      <c r="B42" s="157"/>
      <c r="C42" s="158"/>
      <c r="D42" s="153" t="s">
        <v>158</v>
      </c>
      <c r="E42" s="159"/>
      <c r="F42" s="159"/>
      <c r="G42" s="159"/>
      <c r="H42" s="160"/>
    </row>
    <row r="43" spans="1:8" ht="12.75" customHeight="1">
      <c r="A43" s="152" t="s">
        <v>59</v>
      </c>
      <c r="B43" s="157"/>
      <c r="C43" s="158"/>
      <c r="D43" s="153" t="s">
        <v>67</v>
      </c>
      <c r="E43" s="159"/>
      <c r="F43" s="159"/>
      <c r="G43" s="159"/>
      <c r="H43" s="160"/>
    </row>
    <row r="44" spans="1:8" ht="12.75" customHeight="1">
      <c r="A44" s="152" t="s">
        <v>115</v>
      </c>
      <c r="B44" s="157"/>
      <c r="C44" s="158"/>
      <c r="D44" s="153" t="s">
        <v>125</v>
      </c>
      <c r="E44" s="159"/>
      <c r="F44" s="159"/>
      <c r="G44" s="159"/>
      <c r="H44" s="160"/>
    </row>
    <row r="45" spans="1:8" ht="12.75" customHeight="1">
      <c r="A45" s="152" t="s">
        <v>122</v>
      </c>
      <c r="B45" s="157"/>
      <c r="C45" s="158"/>
      <c r="D45" s="153" t="s">
        <v>137</v>
      </c>
      <c r="E45" s="159"/>
      <c r="F45" s="159"/>
      <c r="G45" s="159"/>
      <c r="H45" s="160"/>
    </row>
    <row r="46" spans="1:8" ht="12.75" customHeight="1">
      <c r="A46" s="152" t="s">
        <v>123</v>
      </c>
      <c r="B46" s="157"/>
      <c r="C46" s="158"/>
      <c r="D46" s="153" t="s">
        <v>138</v>
      </c>
      <c r="E46" s="159"/>
      <c r="F46" s="159"/>
      <c r="G46" s="159"/>
      <c r="H46" s="160"/>
    </row>
    <row r="47" spans="1:8" ht="12.75" customHeight="1">
      <c r="A47" s="152" t="s">
        <v>124</v>
      </c>
      <c r="B47" s="157"/>
      <c r="C47" s="158"/>
      <c r="D47" s="153" t="s">
        <v>126</v>
      </c>
      <c r="E47" s="159"/>
      <c r="F47" s="159"/>
      <c r="G47" s="159"/>
      <c r="H47" s="160"/>
    </row>
    <row r="48" spans="1:8" ht="12.75" customHeight="1">
      <c r="A48" s="152" t="s">
        <v>165</v>
      </c>
      <c r="B48" s="157"/>
      <c r="C48" s="158"/>
      <c r="D48" s="153" t="s">
        <v>168</v>
      </c>
      <c r="E48" s="159"/>
      <c r="F48" s="159"/>
      <c r="G48" s="159"/>
      <c r="H48" s="160"/>
    </row>
    <row r="49" spans="1:8" ht="12.75" customHeight="1">
      <c r="A49" s="152" t="s">
        <v>141</v>
      </c>
      <c r="B49" s="157"/>
      <c r="C49" s="158"/>
      <c r="D49" s="153">
        <v>0</v>
      </c>
      <c r="E49" s="159"/>
      <c r="F49" s="159"/>
      <c r="G49" s="159"/>
      <c r="H49" s="160"/>
    </row>
    <row r="50" spans="1:8" ht="12.75" customHeight="1">
      <c r="A50" s="152" t="s">
        <v>142</v>
      </c>
      <c r="B50" s="157"/>
      <c r="C50" s="158"/>
      <c r="D50" s="153">
        <v>0</v>
      </c>
      <c r="E50" s="159"/>
      <c r="F50" s="159"/>
      <c r="G50" s="159"/>
      <c r="H50" s="160"/>
    </row>
    <row r="51" spans="1:8" ht="12.75" customHeight="1">
      <c r="A51" s="152" t="s">
        <v>143</v>
      </c>
      <c r="B51" s="157"/>
      <c r="C51" s="158"/>
      <c r="D51" s="153">
        <v>0</v>
      </c>
      <c r="E51" s="159"/>
      <c r="F51" s="159"/>
      <c r="G51" s="159"/>
      <c r="H51" s="160"/>
    </row>
    <row r="52" spans="1:8" ht="12.75" customHeight="1">
      <c r="A52" s="152" t="s">
        <v>144</v>
      </c>
      <c r="B52" s="157"/>
      <c r="C52" s="158"/>
      <c r="D52" s="153">
        <v>0</v>
      </c>
      <c r="E52" s="159"/>
      <c r="F52" s="159"/>
      <c r="G52" s="159"/>
      <c r="H52" s="160"/>
    </row>
    <row r="53" spans="1:8" ht="12.75" customHeight="1"/>
    <row r="54" spans="1:8" ht="12.75" customHeight="1">
      <c r="A54" s="6" t="s">
        <v>10</v>
      </c>
      <c r="B54" s="5"/>
      <c r="C54" s="8"/>
      <c r="D54" s="8"/>
      <c r="E54" s="8"/>
      <c r="F54" s="8"/>
    </row>
    <row r="55" spans="1:8" ht="12.75" customHeight="1">
      <c r="A55" s="152" t="s">
        <v>71</v>
      </c>
      <c r="B55" s="157"/>
      <c r="C55" s="158"/>
      <c r="D55" s="149" t="s">
        <v>68</v>
      </c>
      <c r="E55" s="179"/>
      <c r="F55" s="179"/>
      <c r="G55" s="141"/>
      <c r="H55" s="141"/>
    </row>
    <row r="56" spans="1:8" ht="12.75" customHeight="1">
      <c r="A56" s="152" t="s">
        <v>72</v>
      </c>
      <c r="B56" s="176"/>
      <c r="C56" s="177"/>
      <c r="D56" s="149" t="s">
        <v>68</v>
      </c>
      <c r="E56" s="179"/>
      <c r="F56" s="179"/>
      <c r="G56" s="141"/>
      <c r="H56" s="141"/>
    </row>
    <row r="57" spans="1:8" ht="12.75" customHeight="1">
      <c r="A57" s="149" t="s">
        <v>69</v>
      </c>
      <c r="B57" s="175"/>
      <c r="C57" s="175"/>
      <c r="D57" s="149" t="s">
        <v>68</v>
      </c>
      <c r="E57" s="149"/>
      <c r="F57" s="149"/>
      <c r="G57" s="178"/>
      <c r="H57" s="178"/>
    </row>
    <row r="58" spans="1:8">
      <c r="A58" s="149" t="s">
        <v>70</v>
      </c>
      <c r="B58" s="175"/>
      <c r="C58" s="175"/>
      <c r="D58" s="149" t="s">
        <v>68</v>
      </c>
      <c r="E58" s="149"/>
      <c r="F58" s="149"/>
      <c r="G58" s="178"/>
      <c r="H58" s="178"/>
    </row>
    <row r="59" spans="1:8" ht="12.75" customHeight="1">
      <c r="A59" s="203" t="s">
        <v>246</v>
      </c>
      <c r="B59" s="204"/>
      <c r="C59" s="205"/>
      <c r="D59" s="203" t="s">
        <v>247</v>
      </c>
      <c r="E59" s="204"/>
      <c r="F59" s="204"/>
      <c r="G59" s="204"/>
      <c r="H59" s="205"/>
    </row>
    <row r="60" spans="1:8" ht="12.75" customHeight="1"/>
    <row r="61" spans="1:8" ht="12.75" customHeight="1"/>
    <row r="62" spans="1:8" ht="12.75" customHeight="1"/>
    <row r="63" spans="1:8" ht="12.75" customHeight="1"/>
    <row r="64" spans="1:8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</sheetData>
  <sheetProtection password="C71A" sheet="1" objects="1" scenarios="1"/>
  <customSheetViews>
    <customSheetView guid="{EE5C2B4E-0986-4484-AC0A-003A1AA7501D}" state="hidden">
      <selection activeCell="H20" sqref="H20:H22"/>
      <pageMargins left="0.75" right="0.75" top="1" bottom="1" header="0.5" footer="0.5"/>
      <pageSetup paperSize="9" orientation="portrait" r:id="rId1"/>
      <headerFooter alignWithMargins="0"/>
    </customSheetView>
    <customSheetView guid="{20FA67BD-9BBC-4ED6-BBAA-373F6BCF607B}" topLeftCell="A7">
      <selection activeCell="D48" sqref="D48:H48"/>
      <pageMargins left="0.75" right="0.75" top="1" bottom="1" header="0.5" footer="0.5"/>
      <pageSetup paperSize="9" orientation="portrait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r:id="rId3"/>
      <headerFooter alignWithMargins="0"/>
    </customSheetView>
    <customSheetView guid="{7D664F49-CBB3-4B83-A19B-05FCB4570C5D}" state="hidden">
      <selection activeCell="H20" sqref="H20:H22"/>
      <pageMargins left="0.75" right="0.75" top="1" bottom="1" header="0.5" footer="0.5"/>
      <pageSetup paperSize="9" orientation="portrait" r:id="rId4"/>
      <headerFooter alignWithMargins="0"/>
    </customSheetView>
    <customSheetView guid="{11D08DB2-E31A-4B7D-96E3-15D146D9C90A}" state="hidden">
      <selection activeCell="H20" sqref="H20:H22"/>
      <pageMargins left="0.75" right="0.75" top="1" bottom="1" header="0.5" footer="0.5"/>
      <pageSetup paperSize="9" orientation="portrait" r:id="rId5"/>
      <headerFooter alignWithMargins="0"/>
    </customSheetView>
  </customSheetViews>
  <mergeCells count="64">
    <mergeCell ref="D40:H40"/>
    <mergeCell ref="A36:C36"/>
    <mergeCell ref="D29:G31"/>
    <mergeCell ref="D39:H39"/>
    <mergeCell ref="D38:H38"/>
    <mergeCell ref="A40:C40"/>
    <mergeCell ref="A59:C59"/>
    <mergeCell ref="D59:H59"/>
    <mergeCell ref="A41:C41"/>
    <mergeCell ref="D41:H41"/>
    <mergeCell ref="A29:C31"/>
    <mergeCell ref="A38:C38"/>
    <mergeCell ref="D36:H36"/>
    <mergeCell ref="A43:C43"/>
    <mergeCell ref="D43:H43"/>
    <mergeCell ref="A39:C39"/>
    <mergeCell ref="A23:C25"/>
    <mergeCell ref="A26:C28"/>
    <mergeCell ref="H20:H22"/>
    <mergeCell ref="H23:H25"/>
    <mergeCell ref="H26:H28"/>
    <mergeCell ref="D20:G22"/>
    <mergeCell ref="D23:G25"/>
    <mergeCell ref="D26:G28"/>
    <mergeCell ref="D50:H50"/>
    <mergeCell ref="A51:C51"/>
    <mergeCell ref="D55:H55"/>
    <mergeCell ref="D56:H56"/>
    <mergeCell ref="D49:H49"/>
    <mergeCell ref="A16:C19"/>
    <mergeCell ref="D16:G19"/>
    <mergeCell ref="H29:H31"/>
    <mergeCell ref="H16:H19"/>
    <mergeCell ref="A20:C22"/>
    <mergeCell ref="D57:H57"/>
    <mergeCell ref="D58:H58"/>
    <mergeCell ref="A42:C42"/>
    <mergeCell ref="D42:H42"/>
    <mergeCell ref="A44:C44"/>
    <mergeCell ref="D44:H44"/>
    <mergeCell ref="A57:C57"/>
    <mergeCell ref="A46:C46"/>
    <mergeCell ref="A47:C47"/>
    <mergeCell ref="A48:C48"/>
    <mergeCell ref="D37:H37"/>
    <mergeCell ref="A52:C52"/>
    <mergeCell ref="D52:H52"/>
    <mergeCell ref="A49:C49"/>
    <mergeCell ref="A56:C56"/>
    <mergeCell ref="A55:C55"/>
    <mergeCell ref="D46:H46"/>
    <mergeCell ref="D47:H47"/>
    <mergeCell ref="D48:H48"/>
    <mergeCell ref="A50:C50"/>
    <mergeCell ref="D51:H51"/>
    <mergeCell ref="A45:C45"/>
    <mergeCell ref="D45:H45"/>
    <mergeCell ref="A58:C58"/>
    <mergeCell ref="D15:H15"/>
    <mergeCell ref="A34:C34"/>
    <mergeCell ref="D34:H34"/>
    <mergeCell ref="A35:C35"/>
    <mergeCell ref="D35:H35"/>
    <mergeCell ref="A37:C37"/>
  </mergeCells>
  <phoneticPr fontId="2" type="noConversion"/>
  <pageMargins left="0.75" right="0.75" top="1" bottom="1" header="0.5" footer="0.5"/>
  <pageSetup paperSize="9" orientation="portrait" r:id="rId6"/>
  <headerFooter alignWithMargins="0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4">
    <tabColor indexed="9"/>
  </sheetPr>
  <dimension ref="A15:H33"/>
  <sheetViews>
    <sheetView workbookViewId="0">
      <selection activeCell="O28" sqref="O28"/>
    </sheetView>
  </sheetViews>
  <sheetFormatPr defaultColWidth="9.109375" defaultRowHeight="13.2"/>
  <cols>
    <col min="1" max="16384" width="9.109375" style="3"/>
  </cols>
  <sheetData>
    <row r="15" spans="1:8" ht="14.4">
      <c r="A15" s="9" t="s">
        <v>8</v>
      </c>
      <c r="B15" s="8"/>
      <c r="C15" s="8"/>
      <c r="D15" s="150" t="s">
        <v>177</v>
      </c>
      <c r="E15" s="151"/>
      <c r="F15" s="151"/>
      <c r="G15" s="151"/>
      <c r="H15" s="151"/>
    </row>
    <row r="16" spans="1:8">
      <c r="A16" s="149" t="s">
        <v>196</v>
      </c>
      <c r="B16" s="149"/>
      <c r="C16" s="149"/>
      <c r="D16" s="156" t="s">
        <v>151</v>
      </c>
      <c r="E16" s="156"/>
      <c r="F16" s="156"/>
      <c r="G16" s="156"/>
      <c r="H16" s="16">
        <f>_!D27</f>
        <v>82</v>
      </c>
    </row>
    <row r="18" spans="1:8">
      <c r="A18" s="9" t="s">
        <v>60</v>
      </c>
      <c r="B18" s="8"/>
      <c r="C18" s="8"/>
      <c r="D18" s="8"/>
      <c r="E18" s="8"/>
      <c r="F18" s="8"/>
      <c r="G18" s="8"/>
      <c r="H18" s="8"/>
    </row>
    <row r="19" spans="1:8">
      <c r="A19" s="149" t="s">
        <v>149</v>
      </c>
      <c r="B19" s="149"/>
      <c r="C19" s="149"/>
      <c r="D19" s="148" t="s">
        <v>150</v>
      </c>
      <c r="E19" s="148"/>
      <c r="F19" s="148"/>
      <c r="G19" s="148"/>
      <c r="H19" s="148"/>
    </row>
    <row r="20" spans="1:8">
      <c r="A20" s="149" t="s">
        <v>199</v>
      </c>
      <c r="B20" s="149"/>
      <c r="C20" s="149"/>
      <c r="D20" s="148" t="s">
        <v>200</v>
      </c>
      <c r="E20" s="148"/>
      <c r="F20" s="148"/>
      <c r="G20" s="148"/>
      <c r="H20" s="148"/>
    </row>
    <row r="21" spans="1:8">
      <c r="A21" s="149" t="s">
        <v>153</v>
      </c>
      <c r="B21" s="149"/>
      <c r="C21" s="149"/>
      <c r="D21" s="148" t="s">
        <v>154</v>
      </c>
      <c r="E21" s="148"/>
      <c r="F21" s="148"/>
      <c r="G21" s="148"/>
      <c r="H21" s="148"/>
    </row>
    <row r="23" spans="1:8">
      <c r="A23" s="2" t="s">
        <v>19</v>
      </c>
    </row>
    <row r="24" spans="1:8" ht="14.4">
      <c r="A24" s="149" t="s">
        <v>163</v>
      </c>
      <c r="B24" s="149"/>
      <c r="C24" s="149"/>
      <c r="D24" s="222"/>
      <c r="E24" s="141"/>
      <c r="F24" s="141"/>
      <c r="G24" s="141"/>
      <c r="H24" s="141"/>
    </row>
    <row r="25" spans="1:8" ht="14.4">
      <c r="A25" s="149" t="s">
        <v>57</v>
      </c>
      <c r="B25" s="149"/>
      <c r="C25" s="149"/>
      <c r="D25" s="222" t="s">
        <v>155</v>
      </c>
      <c r="E25" s="141"/>
      <c r="F25" s="141"/>
      <c r="G25" s="141"/>
      <c r="H25" s="141"/>
    </row>
    <row r="26" spans="1:8" ht="14.4">
      <c r="A26" s="149" t="s">
        <v>164</v>
      </c>
      <c r="B26" s="149"/>
      <c r="C26" s="149"/>
      <c r="D26" s="222"/>
      <c r="E26" s="141"/>
      <c r="F26" s="141"/>
      <c r="G26" s="141"/>
      <c r="H26" s="141"/>
    </row>
    <row r="28" spans="1:8">
      <c r="A28" s="2" t="s">
        <v>10</v>
      </c>
    </row>
    <row r="29" spans="1:8" ht="14.4">
      <c r="A29" s="152" t="s">
        <v>172</v>
      </c>
      <c r="B29" s="157"/>
      <c r="C29" s="158"/>
      <c r="D29" s="149" t="s">
        <v>68</v>
      </c>
      <c r="E29" s="179"/>
      <c r="F29" s="179"/>
      <c r="G29" s="141"/>
      <c r="H29" s="141"/>
    </row>
    <row r="30" spans="1:8" ht="14.4">
      <c r="A30" s="152" t="s">
        <v>173</v>
      </c>
      <c r="B30" s="176"/>
      <c r="C30" s="177"/>
      <c r="D30" s="149" t="s">
        <v>68</v>
      </c>
      <c r="E30" s="179"/>
      <c r="F30" s="179"/>
      <c r="G30" s="141"/>
      <c r="H30" s="141"/>
    </row>
    <row r="31" spans="1:8" ht="14.4">
      <c r="A31" s="152" t="s">
        <v>156</v>
      </c>
      <c r="B31" s="176"/>
      <c r="C31" s="177"/>
      <c r="D31" s="149" t="s">
        <v>68</v>
      </c>
      <c r="E31" s="179"/>
      <c r="F31" s="179"/>
      <c r="G31" s="141"/>
      <c r="H31" s="141"/>
    </row>
    <row r="32" spans="1:8" ht="14.4">
      <c r="A32" s="152" t="s">
        <v>174</v>
      </c>
      <c r="B32" s="176"/>
      <c r="C32" s="177"/>
      <c r="D32" s="149" t="s">
        <v>175</v>
      </c>
      <c r="E32" s="179"/>
      <c r="F32" s="179"/>
      <c r="G32" s="141"/>
      <c r="H32" s="141"/>
    </row>
    <row r="33" spans="1:8">
      <c r="A33" s="149" t="s">
        <v>198</v>
      </c>
      <c r="B33" s="149"/>
      <c r="C33" s="149"/>
      <c r="D33" s="148" t="s">
        <v>197</v>
      </c>
      <c r="E33" s="148"/>
      <c r="F33" s="148"/>
      <c r="G33" s="148"/>
      <c r="H33" s="148"/>
    </row>
  </sheetData>
  <sheetProtection password="C71A" sheet="1" objects="1" scenarios="1"/>
  <customSheetViews>
    <customSheetView guid="{EE5C2B4E-0986-4484-AC0A-003A1AA7501D}" state="hidden">
      <selection activeCell="O28" sqref="O28"/>
      <pageMargins left="0.75" right="0.75" top="1" bottom="1" header="0.5" footer="0.5"/>
      <pageSetup paperSize="9" orientation="portrait" verticalDpi="0" r:id="rId1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7D664F49-CBB3-4B83-A19B-05FCB4570C5D}" state="hidden">
      <selection activeCell="O28" sqref="O28"/>
      <pageMargins left="0.75" right="0.75" top="1" bottom="1" header="0.5" footer="0.5"/>
      <pageSetup paperSize="9" orientation="portrait" verticalDpi="0" r:id="rId4"/>
      <headerFooter alignWithMargins="0"/>
    </customSheetView>
    <customSheetView guid="{11D08DB2-E31A-4B7D-96E3-15D146D9C90A}" state="hidden">
      <selection activeCell="O28" sqref="O28"/>
      <pageMargins left="0.75" right="0.75" top="1" bottom="1" header="0.5" footer="0.5"/>
      <pageSetup paperSize="9" orientation="portrait" verticalDpi="0" r:id="rId5"/>
      <headerFooter alignWithMargins="0"/>
    </customSheetView>
  </customSheetViews>
  <mergeCells count="25">
    <mergeCell ref="A20:C20"/>
    <mergeCell ref="D26:H26"/>
    <mergeCell ref="A29:C29"/>
    <mergeCell ref="D29:H29"/>
    <mergeCell ref="A21:C21"/>
    <mergeCell ref="A31:C31"/>
    <mergeCell ref="D15:H15"/>
    <mergeCell ref="A16:C16"/>
    <mergeCell ref="D16:G16"/>
    <mergeCell ref="A19:C19"/>
    <mergeCell ref="D19:H19"/>
    <mergeCell ref="D20:H20"/>
    <mergeCell ref="A30:C30"/>
    <mergeCell ref="D21:H21"/>
    <mergeCell ref="D24:H24"/>
    <mergeCell ref="A33:C33"/>
    <mergeCell ref="D33:H33"/>
    <mergeCell ref="A24:C24"/>
    <mergeCell ref="A25:C25"/>
    <mergeCell ref="A26:C26"/>
    <mergeCell ref="D32:H32"/>
    <mergeCell ref="D30:H30"/>
    <mergeCell ref="A32:C32"/>
    <mergeCell ref="D25:H25"/>
    <mergeCell ref="D31:H31"/>
  </mergeCells>
  <phoneticPr fontId="2" type="noConversion"/>
  <pageMargins left="0.75" right="0.75" top="1" bottom="1" header="0.5" footer="0.5"/>
  <pageSetup paperSize="9" orientation="portrait" verticalDpi="0" r:id="rId6"/>
  <headerFooter alignWithMargins="0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1">
    <tabColor indexed="9"/>
  </sheetPr>
  <dimension ref="A1:U38"/>
  <sheetViews>
    <sheetView workbookViewId="0">
      <selection activeCell="H16" sqref="H16"/>
    </sheetView>
  </sheetViews>
  <sheetFormatPr defaultColWidth="9.109375" defaultRowHeight="13.2"/>
  <cols>
    <col min="1" max="2" width="9.109375" style="3" customWidth="1"/>
    <col min="3" max="16384" width="9.109375" style="3"/>
  </cols>
  <sheetData>
    <row r="1" spans="1:21">
      <c r="R1" s="4"/>
      <c r="S1" s="4"/>
      <c r="T1" s="4"/>
      <c r="U1" s="4"/>
    </row>
    <row r="2" spans="1:21">
      <c r="R2" s="4"/>
      <c r="S2" s="4"/>
      <c r="T2" s="4"/>
      <c r="U2" s="4"/>
    </row>
    <row r="3" spans="1:21">
      <c r="R3" s="4"/>
      <c r="S3" s="4"/>
      <c r="T3" s="4"/>
      <c r="U3" s="4"/>
    </row>
    <row r="4" spans="1:21">
      <c r="R4" s="4"/>
      <c r="S4" s="4"/>
      <c r="T4" s="4"/>
      <c r="U4" s="4"/>
    </row>
    <row r="5" spans="1:21">
      <c r="R5" s="10"/>
      <c r="S5" s="4"/>
      <c r="T5" s="4"/>
      <c r="U5" s="4"/>
    </row>
    <row r="6" spans="1:21">
      <c r="R6" s="4"/>
      <c r="S6" s="4"/>
      <c r="T6" s="4"/>
      <c r="U6" s="4"/>
    </row>
    <row r="7" spans="1:21">
      <c r="R7" s="4"/>
      <c r="S7" s="4"/>
      <c r="T7" s="4"/>
      <c r="U7" s="4"/>
    </row>
    <row r="9" spans="1:21">
      <c r="A9" s="8"/>
      <c r="B9" s="8"/>
      <c r="C9" s="8"/>
      <c r="D9" s="8"/>
      <c r="E9" s="8"/>
      <c r="F9" s="8"/>
      <c r="G9" s="8"/>
      <c r="H9" s="8"/>
    </row>
    <row r="10" spans="1:21">
      <c r="A10" s="8"/>
      <c r="B10" s="8"/>
      <c r="C10" s="8"/>
      <c r="D10" s="8"/>
      <c r="E10" s="8"/>
      <c r="F10" s="8"/>
      <c r="G10" s="8"/>
      <c r="H10" s="8"/>
    </row>
    <row r="11" spans="1:21">
      <c r="A11" s="8"/>
      <c r="B11" s="8"/>
      <c r="C11" s="8"/>
      <c r="D11" s="8"/>
      <c r="E11" s="8"/>
      <c r="F11" s="8"/>
      <c r="G11" s="8"/>
      <c r="H11" s="8"/>
    </row>
    <row r="12" spans="1:21">
      <c r="A12" s="8"/>
      <c r="B12" s="8"/>
      <c r="C12" s="8"/>
      <c r="D12" s="8"/>
      <c r="E12" s="8"/>
      <c r="F12" s="8"/>
      <c r="G12" s="8"/>
      <c r="H12" s="8"/>
    </row>
    <row r="13" spans="1:21">
      <c r="A13" s="8"/>
      <c r="B13" s="8"/>
      <c r="C13" s="8"/>
      <c r="D13" s="8"/>
      <c r="E13" s="8"/>
      <c r="F13" s="8"/>
      <c r="G13" s="8"/>
      <c r="H13" s="8"/>
    </row>
    <row r="14" spans="1:21">
      <c r="A14" s="8"/>
      <c r="B14" s="8"/>
      <c r="C14" s="8"/>
      <c r="D14" s="8"/>
      <c r="E14" s="8"/>
      <c r="F14" s="8"/>
      <c r="G14" s="8"/>
      <c r="H14" s="8"/>
    </row>
    <row r="15" spans="1:21" ht="14.4">
      <c r="A15" s="9" t="s">
        <v>8</v>
      </c>
      <c r="B15" s="8"/>
      <c r="C15" s="8"/>
      <c r="D15" s="150" t="s">
        <v>177</v>
      </c>
      <c r="E15" s="151"/>
      <c r="F15" s="151"/>
      <c r="G15" s="151"/>
      <c r="H15" s="151"/>
    </row>
    <row r="16" spans="1:21">
      <c r="A16" s="152" t="s">
        <v>24</v>
      </c>
      <c r="B16" s="157"/>
      <c r="C16" s="158"/>
      <c r="D16" s="219"/>
      <c r="E16" s="220"/>
      <c r="F16" s="220"/>
      <c r="G16" s="221"/>
      <c r="H16" s="16">
        <f>_!D18</f>
        <v>160</v>
      </c>
    </row>
    <row r="17" spans="1:8">
      <c r="A17" s="8"/>
      <c r="B17" s="8"/>
      <c r="C17" s="8"/>
      <c r="D17" s="8"/>
      <c r="E17" s="8"/>
      <c r="F17" s="8"/>
      <c r="G17" s="8"/>
      <c r="H17" s="8"/>
    </row>
    <row r="18" spans="1:8">
      <c r="A18" s="9" t="s">
        <v>60</v>
      </c>
      <c r="B18" s="8"/>
      <c r="C18" s="8"/>
      <c r="D18" s="8"/>
      <c r="E18" s="8"/>
      <c r="F18" s="8"/>
      <c r="G18" s="8"/>
      <c r="H18" s="8"/>
    </row>
    <row r="19" spans="1:8">
      <c r="A19" s="152" t="s">
        <v>141</v>
      </c>
      <c r="B19" s="157"/>
      <c r="C19" s="158"/>
      <c r="D19" s="153">
        <v>0</v>
      </c>
      <c r="E19" s="159"/>
      <c r="F19" s="159"/>
      <c r="G19" s="159"/>
      <c r="H19" s="160"/>
    </row>
    <row r="20" spans="1:8">
      <c r="A20" s="152" t="s">
        <v>142</v>
      </c>
      <c r="B20" s="157"/>
      <c r="C20" s="158"/>
      <c r="D20" s="153">
        <v>4</v>
      </c>
      <c r="E20" s="159"/>
      <c r="F20" s="159"/>
      <c r="G20" s="159"/>
      <c r="H20" s="160"/>
    </row>
    <row r="21" spans="1:8">
      <c r="A21" s="152" t="s">
        <v>143</v>
      </c>
      <c r="B21" s="157"/>
      <c r="C21" s="158"/>
      <c r="D21" s="153">
        <v>0</v>
      </c>
      <c r="E21" s="159"/>
      <c r="F21" s="159"/>
      <c r="G21" s="159"/>
      <c r="H21" s="160"/>
    </row>
    <row r="22" spans="1:8">
      <c r="A22" s="152" t="s">
        <v>144</v>
      </c>
      <c r="B22" s="157"/>
      <c r="C22" s="158"/>
      <c r="D22" s="153">
        <v>4</v>
      </c>
      <c r="E22" s="159"/>
      <c r="F22" s="159"/>
      <c r="G22" s="159"/>
      <c r="H22" s="160"/>
    </row>
    <row r="23" spans="1:8">
      <c r="A23" s="152" t="s">
        <v>58</v>
      </c>
      <c r="B23" s="157"/>
      <c r="C23" s="158"/>
      <c r="D23" s="153" t="s">
        <v>74</v>
      </c>
      <c r="E23" s="159"/>
      <c r="F23" s="159"/>
      <c r="G23" s="159"/>
      <c r="H23" s="160"/>
    </row>
    <row r="24" spans="1:8">
      <c r="A24" s="152" t="s">
        <v>59</v>
      </c>
      <c r="B24" s="157"/>
      <c r="C24" s="158"/>
      <c r="D24" s="153" t="s">
        <v>120</v>
      </c>
      <c r="E24" s="159"/>
      <c r="F24" s="159"/>
      <c r="G24" s="159"/>
      <c r="H24" s="160"/>
    </row>
    <row r="25" spans="1:8">
      <c r="A25" s="152" t="s">
        <v>6</v>
      </c>
      <c r="B25" s="157"/>
      <c r="C25" s="158"/>
      <c r="D25" s="153" t="s">
        <v>116</v>
      </c>
      <c r="E25" s="159"/>
      <c r="F25" s="159"/>
      <c r="G25" s="159"/>
      <c r="H25" s="160"/>
    </row>
    <row r="26" spans="1:8">
      <c r="A26" s="5"/>
      <c r="B26" s="5"/>
      <c r="C26" s="8"/>
      <c r="D26" s="8"/>
      <c r="E26" s="8"/>
      <c r="F26" s="8"/>
      <c r="G26" s="8"/>
      <c r="H26" s="8"/>
    </row>
    <row r="27" spans="1:8">
      <c r="A27" s="161" t="s">
        <v>7</v>
      </c>
      <c r="B27" s="161"/>
      <c r="C27" s="161"/>
      <c r="D27" s="161"/>
      <c r="E27" s="8"/>
      <c r="F27" s="8"/>
      <c r="G27" s="8"/>
      <c r="H27" s="8"/>
    </row>
    <row r="28" spans="1:8">
      <c r="A28" s="206" t="s">
        <v>71</v>
      </c>
      <c r="B28" s="207"/>
      <c r="C28" s="208"/>
      <c r="D28" s="206" t="s">
        <v>117</v>
      </c>
      <c r="E28" s="207"/>
      <c r="F28" s="207"/>
      <c r="G28" s="207"/>
      <c r="H28" s="208"/>
    </row>
    <row r="29" spans="1:8" ht="12.75" customHeight="1">
      <c r="A29" s="209"/>
      <c r="B29" s="210"/>
      <c r="C29" s="211"/>
      <c r="D29" s="209"/>
      <c r="E29" s="210"/>
      <c r="F29" s="210"/>
      <c r="G29" s="210"/>
      <c r="H29" s="211"/>
    </row>
    <row r="30" spans="1:8" ht="12.75" customHeight="1">
      <c r="A30" s="206" t="s">
        <v>139</v>
      </c>
      <c r="B30" s="207"/>
      <c r="C30" s="208"/>
      <c r="D30" s="206" t="s">
        <v>13</v>
      </c>
      <c r="E30" s="207"/>
      <c r="F30" s="207"/>
      <c r="G30" s="207"/>
      <c r="H30" s="208"/>
    </row>
    <row r="31" spans="1:8" ht="12.75" customHeight="1">
      <c r="A31" s="209"/>
      <c r="B31" s="210"/>
      <c r="C31" s="211"/>
      <c r="D31" s="209"/>
      <c r="E31" s="210"/>
      <c r="F31" s="210"/>
      <c r="G31" s="210"/>
      <c r="H31" s="211"/>
    </row>
    <row r="32" spans="1:8" ht="12.75" customHeight="1">
      <c r="A32" s="5"/>
      <c r="B32" s="5"/>
      <c r="C32" s="8"/>
      <c r="D32" s="8"/>
      <c r="E32" s="8"/>
      <c r="F32" s="8"/>
      <c r="G32" s="8"/>
      <c r="H32" s="8"/>
    </row>
    <row r="33" spans="1:8">
      <c r="A33" s="161" t="s">
        <v>9</v>
      </c>
      <c r="B33" s="161"/>
      <c r="C33" s="161"/>
      <c r="D33" s="161"/>
      <c r="E33" s="8"/>
      <c r="F33" s="8"/>
      <c r="G33" s="8"/>
      <c r="H33" s="8"/>
    </row>
    <row r="34" spans="1:8">
      <c r="A34" s="206" t="s">
        <v>72</v>
      </c>
      <c r="B34" s="207"/>
      <c r="C34" s="208"/>
      <c r="D34" s="206" t="s">
        <v>73</v>
      </c>
      <c r="E34" s="207"/>
      <c r="F34" s="207"/>
      <c r="G34" s="207"/>
      <c r="H34" s="208"/>
    </row>
    <row r="35" spans="1:8" ht="12.75" customHeight="1">
      <c r="A35" s="209"/>
      <c r="B35" s="210"/>
      <c r="C35" s="211"/>
      <c r="D35" s="209"/>
      <c r="E35" s="210"/>
      <c r="F35" s="210"/>
      <c r="G35" s="210"/>
      <c r="H35" s="211"/>
    </row>
    <row r="36" spans="1:8" ht="12.75" customHeight="1">
      <c r="A36" s="152" t="s">
        <v>140</v>
      </c>
      <c r="B36" s="157"/>
      <c r="C36" s="158"/>
      <c r="D36" s="219" t="s">
        <v>21</v>
      </c>
      <c r="E36" s="220"/>
      <c r="F36" s="220"/>
      <c r="G36" s="220"/>
      <c r="H36" s="221"/>
    </row>
    <row r="37" spans="1:8" ht="15" customHeight="1">
      <c r="A37" s="152" t="s">
        <v>70</v>
      </c>
      <c r="B37" s="157"/>
      <c r="C37" s="158"/>
      <c r="D37" s="152" t="s">
        <v>11</v>
      </c>
      <c r="E37" s="157"/>
      <c r="F37" s="157"/>
      <c r="G37" s="157"/>
      <c r="H37" s="158"/>
    </row>
    <row r="38" spans="1:8" ht="15" customHeight="1">
      <c r="A38" s="5"/>
      <c r="B38" s="5"/>
      <c r="C38" s="8"/>
      <c r="D38" s="8"/>
      <c r="E38" s="8"/>
      <c r="F38" s="8"/>
      <c r="G38" s="8"/>
      <c r="H38" s="8"/>
    </row>
  </sheetData>
  <sheetProtection password="C71A" sheet="1" objects="1" scenarios="1"/>
  <customSheetViews>
    <customSheetView guid="{EE5C2B4E-0986-4484-AC0A-003A1AA7501D}" state="hidden">
      <selection activeCell="H16" sqref="H16"/>
      <pageMargins left="0.75" right="0.75" top="1" bottom="1" header="0.5" footer="0.5"/>
      <pageSetup paperSize="9" orientation="portrait" verticalDpi="0" r:id="rId1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7D664F49-CBB3-4B83-A19B-05FCB4570C5D}" state="hidden">
      <selection activeCell="H16" sqref="H16"/>
      <pageMargins left="0.75" right="0.75" top="1" bottom="1" header="0.5" footer="0.5"/>
      <pageSetup paperSize="9" orientation="portrait" verticalDpi="0" r:id="rId4"/>
      <headerFooter alignWithMargins="0"/>
    </customSheetView>
    <customSheetView guid="{11D08DB2-E31A-4B7D-96E3-15D146D9C90A}" state="hidden">
      <selection activeCell="H16" sqref="H16"/>
      <pageMargins left="0.75" right="0.75" top="1" bottom="1" header="0.5" footer="0.5"/>
      <pageSetup paperSize="9" orientation="portrait" verticalDpi="0" r:id="rId5"/>
      <headerFooter alignWithMargins="0"/>
    </customSheetView>
  </customSheetViews>
  <mergeCells count="29">
    <mergeCell ref="A37:C37"/>
    <mergeCell ref="D37:H37"/>
    <mergeCell ref="A33:D33"/>
    <mergeCell ref="D34:H35"/>
    <mergeCell ref="A34:C35"/>
    <mergeCell ref="D30:H31"/>
    <mergeCell ref="A30:C31"/>
    <mergeCell ref="A36:C36"/>
    <mergeCell ref="D36:H36"/>
    <mergeCell ref="A24:C24"/>
    <mergeCell ref="D24:H24"/>
    <mergeCell ref="A27:D27"/>
    <mergeCell ref="A25:C25"/>
    <mergeCell ref="D25:H25"/>
    <mergeCell ref="D28:H29"/>
    <mergeCell ref="A28:C29"/>
    <mergeCell ref="A21:C21"/>
    <mergeCell ref="D21:H21"/>
    <mergeCell ref="A22:C22"/>
    <mergeCell ref="D22:H22"/>
    <mergeCell ref="A23:C23"/>
    <mergeCell ref="D23:H23"/>
    <mergeCell ref="A20:C20"/>
    <mergeCell ref="D20:H20"/>
    <mergeCell ref="D15:H15"/>
    <mergeCell ref="A16:C16"/>
    <mergeCell ref="D16:G16"/>
    <mergeCell ref="A19:C19"/>
    <mergeCell ref="D19:H19"/>
  </mergeCells>
  <phoneticPr fontId="2" type="noConversion"/>
  <pageMargins left="0.75" right="0.75" top="1" bottom="1" header="0.5" footer="0.5"/>
  <pageSetup paperSize="9" orientation="portrait" verticalDpi="0" r:id="rId6"/>
  <headerFooter alignWithMargins="0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6">
    <tabColor indexed="9"/>
  </sheetPr>
  <dimension ref="A15:H65"/>
  <sheetViews>
    <sheetView topLeftCell="A6" workbookViewId="0">
      <selection activeCell="H16" sqref="H16:H21"/>
    </sheetView>
  </sheetViews>
  <sheetFormatPr defaultColWidth="9.109375" defaultRowHeight="13.2"/>
  <cols>
    <col min="1" max="4" width="9.109375" style="3" customWidth="1"/>
    <col min="5" max="16384" width="9.109375" style="3"/>
  </cols>
  <sheetData>
    <row r="15" spans="1:8" ht="14.4">
      <c r="A15" s="9" t="s">
        <v>8</v>
      </c>
      <c r="B15" s="8"/>
      <c r="C15" s="8"/>
      <c r="D15" s="215" t="s">
        <v>177</v>
      </c>
      <c r="E15" s="223"/>
      <c r="F15" s="223"/>
      <c r="G15" s="223"/>
      <c r="H15" s="223"/>
    </row>
    <row r="16" spans="1:8" ht="12.75" customHeight="1">
      <c r="A16" s="180" t="s">
        <v>31</v>
      </c>
      <c r="B16" s="227"/>
      <c r="C16" s="228"/>
      <c r="D16" s="156" t="s">
        <v>185</v>
      </c>
      <c r="E16" s="233"/>
      <c r="F16" s="233"/>
      <c r="G16" s="233"/>
      <c r="H16" s="192">
        <f>_!D38</f>
        <v>331.92</v>
      </c>
    </row>
    <row r="17" spans="1:8" ht="12.75" customHeight="1">
      <c r="A17" s="183"/>
      <c r="B17" s="216"/>
      <c r="C17" s="229"/>
      <c r="D17" s="156"/>
      <c r="E17" s="233"/>
      <c r="F17" s="233"/>
      <c r="G17" s="233"/>
      <c r="H17" s="192"/>
    </row>
    <row r="18" spans="1:8" ht="12.75" customHeight="1">
      <c r="A18" s="183"/>
      <c r="B18" s="216"/>
      <c r="C18" s="229"/>
      <c r="D18" s="156"/>
      <c r="E18" s="233"/>
      <c r="F18" s="233"/>
      <c r="G18" s="233"/>
      <c r="H18" s="193"/>
    </row>
    <row r="19" spans="1:8" ht="12.75" customHeight="1">
      <c r="A19" s="183"/>
      <c r="B19" s="216"/>
      <c r="C19" s="229"/>
      <c r="D19" s="156"/>
      <c r="E19" s="233"/>
      <c r="F19" s="233"/>
      <c r="G19" s="233"/>
      <c r="H19" s="193"/>
    </row>
    <row r="20" spans="1:8" ht="12.75" customHeight="1">
      <c r="A20" s="183"/>
      <c r="B20" s="216"/>
      <c r="C20" s="229"/>
      <c r="D20" s="156"/>
      <c r="E20" s="233"/>
      <c r="F20" s="233"/>
      <c r="G20" s="233"/>
      <c r="H20" s="193"/>
    </row>
    <row r="21" spans="1:8" ht="12.75" customHeight="1">
      <c r="A21" s="230"/>
      <c r="B21" s="231"/>
      <c r="C21" s="232"/>
      <c r="D21" s="156"/>
      <c r="E21" s="233"/>
      <c r="F21" s="233"/>
      <c r="G21" s="233"/>
      <c r="H21" s="193"/>
    </row>
    <row r="22" spans="1:8" ht="12.75" customHeight="1">
      <c r="A22" s="180" t="s">
        <v>32</v>
      </c>
      <c r="B22" s="227"/>
      <c r="C22" s="228"/>
      <c r="D22" s="156" t="s">
        <v>186</v>
      </c>
      <c r="E22" s="233"/>
      <c r="F22" s="233"/>
      <c r="G22" s="233"/>
      <c r="H22" s="192">
        <f>_!D38</f>
        <v>331.92</v>
      </c>
    </row>
    <row r="23" spans="1:8" ht="12.75" customHeight="1">
      <c r="A23" s="183"/>
      <c r="B23" s="216"/>
      <c r="C23" s="229"/>
      <c r="D23" s="156"/>
      <c r="E23" s="233"/>
      <c r="F23" s="233"/>
      <c r="G23" s="233"/>
      <c r="H23" s="192"/>
    </row>
    <row r="24" spans="1:8" ht="12.75" customHeight="1">
      <c r="A24" s="183"/>
      <c r="B24" s="216"/>
      <c r="C24" s="229"/>
      <c r="D24" s="156"/>
      <c r="E24" s="233"/>
      <c r="F24" s="233"/>
      <c r="G24" s="233"/>
      <c r="H24" s="193"/>
    </row>
    <row r="25" spans="1:8" ht="12.75" customHeight="1">
      <c r="A25" s="183"/>
      <c r="B25" s="216"/>
      <c r="C25" s="229"/>
      <c r="D25" s="156"/>
      <c r="E25" s="233"/>
      <c r="F25" s="233"/>
      <c r="G25" s="233"/>
      <c r="H25" s="193"/>
    </row>
    <row r="26" spans="1:8" ht="12.75" customHeight="1">
      <c r="A26" s="183"/>
      <c r="B26" s="216"/>
      <c r="C26" s="229"/>
      <c r="D26" s="156"/>
      <c r="E26" s="233"/>
      <c r="F26" s="233"/>
      <c r="G26" s="233"/>
      <c r="H26" s="193"/>
    </row>
    <row r="27" spans="1:8" ht="12.75" customHeight="1">
      <c r="A27" s="183"/>
      <c r="B27" s="216"/>
      <c r="C27" s="229"/>
      <c r="D27" s="156"/>
      <c r="E27" s="233"/>
      <c r="F27" s="233"/>
      <c r="G27" s="233"/>
      <c r="H27" s="193"/>
    </row>
    <row r="28" spans="1:8" ht="12.75" customHeight="1">
      <c r="A28" s="230"/>
      <c r="B28" s="231"/>
      <c r="C28" s="232"/>
      <c r="D28" s="233"/>
      <c r="E28" s="233"/>
      <c r="F28" s="233"/>
      <c r="G28" s="233"/>
      <c r="H28" s="193"/>
    </row>
    <row r="29" spans="1:8" ht="12.75" customHeight="1">
      <c r="A29" s="180" t="s">
        <v>33</v>
      </c>
      <c r="B29" s="227"/>
      <c r="C29" s="227"/>
      <c r="D29" s="156" t="s">
        <v>187</v>
      </c>
      <c r="E29" s="233"/>
      <c r="F29" s="233"/>
      <c r="G29" s="233"/>
      <c r="H29" s="192">
        <f>_!D40</f>
        <v>392.68</v>
      </c>
    </row>
    <row r="30" spans="1:8" ht="12.75" customHeight="1">
      <c r="A30" s="183"/>
      <c r="B30" s="216"/>
      <c r="C30" s="234"/>
      <c r="D30" s="156"/>
      <c r="E30" s="233"/>
      <c r="F30" s="233"/>
      <c r="G30" s="233"/>
      <c r="H30" s="192"/>
    </row>
    <row r="31" spans="1:8" ht="12.75" customHeight="1">
      <c r="A31" s="183"/>
      <c r="B31" s="216"/>
      <c r="C31" s="234"/>
      <c r="D31" s="156"/>
      <c r="E31" s="233"/>
      <c r="F31" s="233"/>
      <c r="G31" s="233"/>
      <c r="H31" s="193"/>
    </row>
    <row r="32" spans="1:8" ht="12.75" customHeight="1">
      <c r="A32" s="183"/>
      <c r="B32" s="216"/>
      <c r="C32" s="234"/>
      <c r="D32" s="156"/>
      <c r="E32" s="233"/>
      <c r="F32" s="233"/>
      <c r="G32" s="233"/>
      <c r="H32" s="193"/>
    </row>
    <row r="33" spans="1:8" ht="12.75" customHeight="1">
      <c r="A33" s="183"/>
      <c r="B33" s="216"/>
      <c r="C33" s="234"/>
      <c r="D33" s="156"/>
      <c r="E33" s="233"/>
      <c r="F33" s="233"/>
      <c r="G33" s="233"/>
      <c r="H33" s="193"/>
    </row>
    <row r="34" spans="1:8" ht="12.75" customHeight="1">
      <c r="A34" s="183"/>
      <c r="B34" s="216"/>
      <c r="C34" s="234"/>
      <c r="D34" s="156"/>
      <c r="E34" s="233"/>
      <c r="F34" s="233"/>
      <c r="G34" s="233"/>
      <c r="H34" s="193"/>
    </row>
    <row r="35" spans="1:8" ht="12.75" customHeight="1">
      <c r="A35" s="230"/>
      <c r="B35" s="231"/>
      <c r="C35" s="231"/>
      <c r="D35" s="233"/>
      <c r="E35" s="233"/>
      <c r="F35" s="233"/>
      <c r="G35" s="233"/>
      <c r="H35" s="193"/>
    </row>
    <row r="36" spans="1:8" ht="12.75" customHeight="1">
      <c r="A36" s="180" t="s">
        <v>34</v>
      </c>
      <c r="B36" s="227"/>
      <c r="C36" s="227"/>
      <c r="D36" s="156" t="s">
        <v>188</v>
      </c>
      <c r="E36" s="233"/>
      <c r="F36" s="233"/>
      <c r="G36" s="233"/>
      <c r="H36" s="192">
        <f>_!D40</f>
        <v>392.68</v>
      </c>
    </row>
    <row r="37" spans="1:8" ht="12.75" customHeight="1">
      <c r="A37" s="183"/>
      <c r="B37" s="216"/>
      <c r="C37" s="234"/>
      <c r="D37" s="156"/>
      <c r="E37" s="233"/>
      <c r="F37" s="233"/>
      <c r="G37" s="233"/>
      <c r="H37" s="192"/>
    </row>
    <row r="38" spans="1:8" ht="12.75" customHeight="1">
      <c r="A38" s="183"/>
      <c r="B38" s="216"/>
      <c r="C38" s="234"/>
      <c r="D38" s="156"/>
      <c r="E38" s="233"/>
      <c r="F38" s="233"/>
      <c r="G38" s="233"/>
      <c r="H38" s="193"/>
    </row>
    <row r="39" spans="1:8" ht="12.75" customHeight="1">
      <c r="A39" s="183"/>
      <c r="B39" s="216"/>
      <c r="C39" s="234"/>
      <c r="D39" s="156"/>
      <c r="E39" s="233"/>
      <c r="F39" s="233"/>
      <c r="G39" s="233"/>
      <c r="H39" s="193"/>
    </row>
    <row r="40" spans="1:8" ht="12.75" customHeight="1">
      <c r="A40" s="183"/>
      <c r="B40" s="216"/>
      <c r="C40" s="234"/>
      <c r="D40" s="156"/>
      <c r="E40" s="233"/>
      <c r="F40" s="233"/>
      <c r="G40" s="233"/>
      <c r="H40" s="193"/>
    </row>
    <row r="41" spans="1:8" ht="12.75" customHeight="1">
      <c r="A41" s="183"/>
      <c r="B41" s="216"/>
      <c r="C41" s="234"/>
      <c r="D41" s="233"/>
      <c r="E41" s="233"/>
      <c r="F41" s="233"/>
      <c r="G41" s="233"/>
      <c r="H41" s="193"/>
    </row>
    <row r="42" spans="1:8" ht="12.75" customHeight="1">
      <c r="A42" s="183"/>
      <c r="B42" s="216"/>
      <c r="C42" s="234"/>
      <c r="D42" s="233"/>
      <c r="E42" s="233"/>
      <c r="F42" s="233"/>
      <c r="G42" s="233"/>
      <c r="H42" s="193"/>
    </row>
    <row r="43" spans="1:8" ht="12.75" customHeight="1">
      <c r="A43" s="230"/>
      <c r="B43" s="231"/>
      <c r="C43" s="231"/>
      <c r="D43" s="233"/>
      <c r="E43" s="233"/>
      <c r="F43" s="233"/>
      <c r="G43" s="233"/>
      <c r="H43" s="193"/>
    </row>
    <row r="44" spans="1:8">
      <c r="A44" s="8"/>
      <c r="B44" s="8"/>
      <c r="C44" s="8"/>
      <c r="D44" s="8"/>
      <c r="E44" s="8"/>
      <c r="F44" s="8"/>
      <c r="G44" s="8"/>
      <c r="H44" s="8"/>
    </row>
    <row r="45" spans="1:8">
      <c r="A45" s="9" t="s">
        <v>60</v>
      </c>
      <c r="B45" s="8"/>
      <c r="C45" s="8"/>
      <c r="D45" s="8"/>
      <c r="E45" s="8"/>
      <c r="F45" s="8"/>
      <c r="G45" s="8"/>
      <c r="H45" s="8"/>
    </row>
    <row r="46" spans="1:8">
      <c r="A46" s="180" t="s">
        <v>141</v>
      </c>
      <c r="B46" s="181"/>
      <c r="C46" s="182"/>
      <c r="D46" s="153">
        <v>8</v>
      </c>
      <c r="E46" s="159"/>
      <c r="F46" s="159"/>
      <c r="G46" s="159"/>
      <c r="H46" s="160"/>
    </row>
    <row r="47" spans="1:8" ht="14.4">
      <c r="A47" s="224"/>
      <c r="B47" s="225"/>
      <c r="C47" s="226"/>
      <c r="D47" s="144" t="s">
        <v>77</v>
      </c>
      <c r="E47" s="217"/>
      <c r="F47" s="217"/>
      <c r="G47" s="217"/>
      <c r="H47" s="218"/>
    </row>
    <row r="48" spans="1:8">
      <c r="A48" s="152" t="s">
        <v>145</v>
      </c>
      <c r="B48" s="157"/>
      <c r="C48" s="158"/>
      <c r="D48" s="153">
        <v>9</v>
      </c>
      <c r="E48" s="159"/>
      <c r="F48" s="159"/>
      <c r="G48" s="159"/>
      <c r="H48" s="160"/>
    </row>
    <row r="49" spans="1:8" ht="14.4">
      <c r="A49" s="11"/>
      <c r="B49" s="12"/>
      <c r="C49" s="13"/>
      <c r="D49" s="153" t="s">
        <v>76</v>
      </c>
      <c r="E49" s="154"/>
      <c r="F49" s="154"/>
      <c r="G49" s="154"/>
      <c r="H49" s="155"/>
    </row>
    <row r="50" spans="1:8">
      <c r="A50" s="180" t="s">
        <v>143</v>
      </c>
      <c r="B50" s="181"/>
      <c r="C50" s="182"/>
      <c r="D50" s="153" t="s">
        <v>75</v>
      </c>
      <c r="E50" s="159"/>
      <c r="F50" s="159"/>
      <c r="G50" s="159"/>
      <c r="H50" s="160"/>
    </row>
    <row r="51" spans="1:8">
      <c r="A51" s="180" t="s">
        <v>146</v>
      </c>
      <c r="B51" s="181"/>
      <c r="C51" s="182"/>
      <c r="D51" s="159">
        <v>10</v>
      </c>
      <c r="E51" s="159"/>
      <c r="F51" s="159"/>
      <c r="G51" s="159"/>
      <c r="H51" s="160"/>
    </row>
    <row r="52" spans="1:8">
      <c r="A52" s="183"/>
      <c r="B52" s="184"/>
      <c r="C52" s="185"/>
      <c r="D52" s="144" t="s">
        <v>78</v>
      </c>
      <c r="E52" s="217"/>
      <c r="F52" s="217"/>
      <c r="G52" s="217"/>
      <c r="H52" s="218"/>
    </row>
    <row r="53" spans="1:8" ht="15" customHeight="1">
      <c r="A53" s="212"/>
      <c r="B53" s="213"/>
      <c r="C53" s="214"/>
      <c r="D53" s="145"/>
      <c r="E53" s="146"/>
      <c r="F53" s="146"/>
      <c r="G53" s="146"/>
      <c r="H53" s="147"/>
    </row>
    <row r="54" spans="1:8">
      <c r="A54" s="152" t="s">
        <v>59</v>
      </c>
      <c r="B54" s="157"/>
      <c r="C54" s="158"/>
      <c r="D54" s="153" t="s">
        <v>119</v>
      </c>
      <c r="E54" s="159"/>
      <c r="F54" s="159"/>
      <c r="G54" s="159"/>
      <c r="H54" s="160"/>
    </row>
    <row r="55" spans="1:8">
      <c r="A55" s="5"/>
      <c r="B55" s="5"/>
      <c r="C55" s="8"/>
      <c r="D55" s="8"/>
      <c r="E55" s="8"/>
      <c r="F55" s="8"/>
      <c r="G55" s="8"/>
      <c r="H55" s="8"/>
    </row>
    <row r="56" spans="1:8">
      <c r="A56" s="161" t="s">
        <v>7</v>
      </c>
      <c r="B56" s="161"/>
      <c r="C56" s="161"/>
      <c r="D56" s="161"/>
      <c r="E56" s="8"/>
      <c r="F56" s="8"/>
      <c r="G56" s="8"/>
      <c r="H56" s="8"/>
    </row>
    <row r="57" spans="1:8">
      <c r="A57" s="206" t="s">
        <v>139</v>
      </c>
      <c r="B57" s="207"/>
      <c r="C57" s="208"/>
      <c r="D57" s="206" t="s">
        <v>13</v>
      </c>
      <c r="E57" s="207"/>
      <c r="F57" s="207"/>
      <c r="G57" s="207"/>
      <c r="H57" s="208"/>
    </row>
    <row r="58" spans="1:8">
      <c r="A58" s="209"/>
      <c r="B58" s="210"/>
      <c r="C58" s="211"/>
      <c r="D58" s="209"/>
      <c r="E58" s="210"/>
      <c r="F58" s="210"/>
      <c r="G58" s="210"/>
      <c r="H58" s="211"/>
    </row>
    <row r="59" spans="1:8">
      <c r="A59" s="5"/>
      <c r="B59" s="5"/>
      <c r="C59" s="8"/>
      <c r="D59" s="8"/>
      <c r="E59" s="8"/>
      <c r="F59" s="8"/>
      <c r="G59" s="8"/>
      <c r="H59" s="8"/>
    </row>
    <row r="60" spans="1:8">
      <c r="A60" s="6" t="s">
        <v>10</v>
      </c>
      <c r="B60" s="5"/>
      <c r="C60" s="8"/>
      <c r="D60" s="8"/>
      <c r="E60" s="8"/>
      <c r="F60" s="8"/>
      <c r="G60" s="8"/>
      <c r="H60" s="8"/>
    </row>
    <row r="61" spans="1:8">
      <c r="A61" s="1" t="s">
        <v>14</v>
      </c>
    </row>
    <row r="63" spans="1:8">
      <c r="A63" s="2" t="s">
        <v>19</v>
      </c>
      <c r="B63" s="2"/>
    </row>
    <row r="64" spans="1:8">
      <c r="A64" s="3" t="s">
        <v>17</v>
      </c>
    </row>
    <row r="65" spans="1:1">
      <c r="A65" s="1" t="s">
        <v>164</v>
      </c>
    </row>
  </sheetData>
  <sheetProtection password="C71A" sheet="1" objects="1" scenarios="1"/>
  <customSheetViews>
    <customSheetView guid="{EE5C2B4E-0986-4484-AC0A-003A1AA7501D}" state="hidden" topLeftCell="A6">
      <selection activeCell="H16" sqref="H16:H21"/>
      <pageMargins left="0.75" right="0.75" top="1" bottom="1" header="0.5" footer="0.5"/>
      <pageSetup paperSize="9" orientation="portrait" verticalDpi="0" r:id="rId1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7D664F49-CBB3-4B83-A19B-05FCB4570C5D}" state="hidden" topLeftCell="A6">
      <selection activeCell="H16" sqref="H16:H21"/>
      <pageMargins left="0.75" right="0.75" top="1" bottom="1" header="0.5" footer="0.5"/>
      <pageSetup paperSize="9" orientation="portrait" verticalDpi="0" r:id="rId4"/>
      <headerFooter alignWithMargins="0"/>
    </customSheetView>
    <customSheetView guid="{11D08DB2-E31A-4B7D-96E3-15D146D9C90A}" state="hidden" topLeftCell="A6">
      <selection activeCell="H16" sqref="H16:H21"/>
      <pageMargins left="0.75" right="0.75" top="1" bottom="1" header="0.5" footer="0.5"/>
      <pageSetup paperSize="9" orientation="portrait" verticalDpi="0" r:id="rId5"/>
      <headerFooter alignWithMargins="0"/>
    </customSheetView>
  </customSheetViews>
  <mergeCells count="29">
    <mergeCell ref="A50:C50"/>
    <mergeCell ref="D50:H50"/>
    <mergeCell ref="D49:H49"/>
    <mergeCell ref="D46:H46"/>
    <mergeCell ref="A36:C43"/>
    <mergeCell ref="A22:C28"/>
    <mergeCell ref="A29:C35"/>
    <mergeCell ref="D22:G28"/>
    <mergeCell ref="D29:G35"/>
    <mergeCell ref="A16:C21"/>
    <mergeCell ref="D16:G21"/>
    <mergeCell ref="D36:G43"/>
    <mergeCell ref="A57:C58"/>
    <mergeCell ref="D57:H58"/>
    <mergeCell ref="H22:H28"/>
    <mergeCell ref="H29:H35"/>
    <mergeCell ref="H36:H43"/>
    <mergeCell ref="A54:C54"/>
    <mergeCell ref="D54:H54"/>
    <mergeCell ref="A48:C48"/>
    <mergeCell ref="D48:H48"/>
    <mergeCell ref="D15:H15"/>
    <mergeCell ref="H16:H21"/>
    <mergeCell ref="A56:D56"/>
    <mergeCell ref="A51:C53"/>
    <mergeCell ref="D52:H53"/>
    <mergeCell ref="D51:H51"/>
    <mergeCell ref="A46:C47"/>
    <mergeCell ref="D47:H47"/>
  </mergeCells>
  <phoneticPr fontId="2" type="noConversion"/>
  <pageMargins left="0.75" right="0.75" top="1" bottom="1" header="0.5" footer="0.5"/>
  <pageSetup paperSize="9" orientation="portrait" verticalDpi="0" r:id="rId6"/>
  <headerFooter alignWithMargins="0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1">
    <tabColor indexed="9"/>
  </sheetPr>
  <dimension ref="A15:H29"/>
  <sheetViews>
    <sheetView workbookViewId="0">
      <selection activeCell="P44" sqref="P44"/>
    </sheetView>
  </sheetViews>
  <sheetFormatPr defaultColWidth="9.109375" defaultRowHeight="13.2"/>
  <cols>
    <col min="1" max="16384" width="9.109375" style="3"/>
  </cols>
  <sheetData>
    <row r="15" spans="1:8" ht="14.4">
      <c r="A15" s="9" t="s">
        <v>8</v>
      </c>
      <c r="B15" s="8"/>
      <c r="C15" s="8"/>
      <c r="D15" s="150" t="s">
        <v>177</v>
      </c>
      <c r="E15" s="151"/>
      <c r="F15" s="151"/>
      <c r="G15" s="151"/>
      <c r="H15" s="151"/>
    </row>
    <row r="16" spans="1:8">
      <c r="A16" s="180" t="s">
        <v>43</v>
      </c>
      <c r="B16" s="181"/>
      <c r="C16" s="182"/>
      <c r="D16" s="206" t="s">
        <v>11</v>
      </c>
      <c r="E16" s="207"/>
      <c r="F16" s="207"/>
      <c r="G16" s="208"/>
      <c r="H16" s="192">
        <f>_!D57</f>
        <v>58.721580000000003</v>
      </c>
    </row>
    <row r="17" spans="1:8" ht="12.75" customHeight="1">
      <c r="A17" s="196"/>
      <c r="B17" s="197"/>
      <c r="C17" s="198"/>
      <c r="D17" s="235"/>
      <c r="E17" s="236"/>
      <c r="F17" s="236"/>
      <c r="G17" s="237"/>
      <c r="H17" s="192"/>
    </row>
    <row r="19" spans="1:8">
      <c r="A19" s="9" t="s">
        <v>60</v>
      </c>
      <c r="B19" s="8"/>
      <c r="C19" s="8"/>
      <c r="D19" s="8"/>
      <c r="E19" s="8"/>
      <c r="F19" s="8"/>
      <c r="G19" s="8"/>
      <c r="H19" s="8"/>
    </row>
    <row r="20" spans="1:8">
      <c r="A20" s="149" t="s">
        <v>81</v>
      </c>
      <c r="B20" s="149"/>
      <c r="C20" s="149"/>
      <c r="D20" s="148" t="s">
        <v>80</v>
      </c>
      <c r="E20" s="148"/>
      <c r="F20" s="148"/>
      <c r="G20" s="148"/>
      <c r="H20" s="148"/>
    </row>
    <row r="22" spans="1:8">
      <c r="A22" s="2" t="s">
        <v>10</v>
      </c>
    </row>
    <row r="23" spans="1:8">
      <c r="A23" s="3" t="s">
        <v>18</v>
      </c>
    </row>
    <row r="25" spans="1:8">
      <c r="A25" s="2" t="s">
        <v>19</v>
      </c>
    </row>
    <row r="26" spans="1:8">
      <c r="A26" s="3" t="s">
        <v>15</v>
      </c>
    </row>
    <row r="27" spans="1:8">
      <c r="A27" s="3" t="s">
        <v>16</v>
      </c>
    </row>
    <row r="28" spans="1:8">
      <c r="A28" s="14" t="s">
        <v>17</v>
      </c>
      <c r="B28" s="14"/>
      <c r="C28" s="14"/>
      <c r="D28" s="14"/>
      <c r="E28" s="14"/>
    </row>
    <row r="29" spans="1:8" s="14" customFormat="1">
      <c r="A29" s="15"/>
    </row>
  </sheetData>
  <sheetProtection password="C71A" sheet="1" objects="1" scenarios="1"/>
  <customSheetViews>
    <customSheetView guid="{EE5C2B4E-0986-4484-AC0A-003A1AA7501D}" state="hidden">
      <selection activeCell="P44" sqref="P44"/>
      <pageMargins left="0.75" right="0.75" top="1" bottom="1" header="0.5" footer="0.5"/>
      <pageSetup paperSize="9" orientation="portrait" verticalDpi="0" r:id="rId1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7D664F49-CBB3-4B83-A19B-05FCB4570C5D}" state="hidden">
      <selection activeCell="P44" sqref="P44"/>
      <pageMargins left="0.75" right="0.75" top="1" bottom="1" header="0.5" footer="0.5"/>
      <pageSetup paperSize="9" orientation="portrait" verticalDpi="0" r:id="rId4"/>
      <headerFooter alignWithMargins="0"/>
    </customSheetView>
    <customSheetView guid="{11D08DB2-E31A-4B7D-96E3-15D146D9C90A}" state="hidden">
      <selection activeCell="P44" sqref="P44"/>
      <pageMargins left="0.75" right="0.75" top="1" bottom="1" header="0.5" footer="0.5"/>
      <pageSetup paperSize="9" orientation="portrait" verticalDpi="0" r:id="rId5"/>
      <headerFooter alignWithMargins="0"/>
    </customSheetView>
  </customSheetViews>
  <mergeCells count="6">
    <mergeCell ref="D15:H15"/>
    <mergeCell ref="A16:C17"/>
    <mergeCell ref="D16:G17"/>
    <mergeCell ref="H16:H17"/>
    <mergeCell ref="A20:C20"/>
    <mergeCell ref="D20:H20"/>
  </mergeCells>
  <phoneticPr fontId="2" type="noConversion"/>
  <pageMargins left="0.75" right="0.75" top="1" bottom="1" header="0.5" footer="0.5"/>
  <pageSetup paperSize="9" orientation="portrait" verticalDpi="0" r:id="rId6"/>
  <headerFooter alignWithMargins="0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17</vt:i4>
      </vt:variant>
    </vt:vector>
  </HeadingPairs>
  <TitlesOfParts>
    <vt:vector size="28" baseType="lpstr">
      <vt:lpstr>_расчет</vt:lpstr>
      <vt:lpstr>Matrix</vt:lpstr>
      <vt:lpstr>FMR_new</vt:lpstr>
      <vt:lpstr>MRL_старое</vt:lpstr>
      <vt:lpstr>Trim5_old</vt:lpstr>
      <vt:lpstr>Модем ICM</vt:lpstr>
      <vt:lpstr>SMH2G_old</vt:lpstr>
      <vt:lpstr>MC_old</vt:lpstr>
      <vt:lpstr>Сетевые модули PNA_old</vt:lpstr>
      <vt:lpstr>_</vt:lpstr>
      <vt:lpstr>Лист1</vt:lpstr>
      <vt:lpstr>_00</vt:lpstr>
      <vt:lpstr>_10</vt:lpstr>
      <vt:lpstr>_11</vt:lpstr>
      <vt:lpstr>_13</vt:lpstr>
      <vt:lpstr>_20</vt:lpstr>
      <vt:lpstr>_21</vt:lpstr>
      <vt:lpstr>_22</vt:lpstr>
      <vt:lpstr>_30</vt:lpstr>
      <vt:lpstr>_33</vt:lpstr>
      <vt:lpstr>MC_old!Область_печати</vt:lpstr>
      <vt:lpstr>SMH2G_old!Область_печати</vt:lpstr>
      <vt:lpstr>Trim5_old!Область_печати</vt:lpstr>
      <vt:lpstr>'Модем ICM'!Область_печати</vt:lpstr>
      <vt:lpstr>'Сетевые модули PNA_old'!Область_печати</vt:lpstr>
      <vt:lpstr>ресурс_контроллера</vt:lpstr>
      <vt:lpstr>скидка</vt:lpstr>
      <vt:lpstr>Список_контроллеров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Support</dc:creator>
  <cp:lastModifiedBy>al</cp:lastModifiedBy>
  <cp:lastPrinted>2022-12-14T12:14:17Z</cp:lastPrinted>
  <dcterms:created xsi:type="dcterms:W3CDTF">2021-09-27T10:04:16Z</dcterms:created>
  <dcterms:modified xsi:type="dcterms:W3CDTF">2025-04-24T02:24:08Z</dcterms:modified>
</cp:coreProperties>
</file>